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evand\Desktop\"/>
    </mc:Choice>
  </mc:AlternateContent>
  <xr:revisionPtr revIDLastSave="0" documentId="13_ncr:1_{40765ECA-98C5-4E21-A845-0B76BBDD3B35}" xr6:coauthVersionLast="40" xr6:coauthVersionMax="40" xr10:uidLastSave="{00000000-0000-0000-0000-000000000000}"/>
  <workbookProtection workbookAlgorithmName="SHA-512" workbookHashValue="JMVBBsr/+Bdqid/YwKTrzVdZFZcDpJLQ0CGzmCL96YUIJxlhCsigfw9oW/yzS1LH2vRV6VxfOJ3Qd+QBcvEeXw==" workbookSaltValue="c8hyuWY6sIOb/hYEj0Jhlg==" workbookSpinCount="100000" lockStructure="1"/>
  <bookViews>
    <workbookView xWindow="-108" yWindow="-108" windowWidth="23256" windowHeight="12576" xr2:uid="{14C06CF1-1C6D-41DC-9574-67EDE627EF53}"/>
  </bookViews>
  <sheets>
    <sheet name="BD" sheetId="1" r:id="rId1"/>
    <sheet name="apoio2" sheetId="4" state="hidden" r:id="rId2"/>
    <sheet name="PAINEL" sheetId="5" r:id="rId3"/>
    <sheet name="TBL_Frete" sheetId="2" r:id="rId4"/>
  </sheets>
  <definedNames>
    <definedName name="_xlnm._FilterDatabase" localSheetId="0" hidden="1">BD!$A$1:$S$137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J20" i="1" s="1"/>
  <c r="I3" i="1"/>
  <c r="J3" i="1" s="1"/>
  <c r="I2" i="1"/>
  <c r="J2" i="1" s="1"/>
  <c r="S137" i="1" l="1"/>
  <c r="Q137" i="1"/>
  <c r="P137" i="1"/>
  <c r="S136" i="1" l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I137" i="1" l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L2" i="1"/>
  <c r="P2" i="1"/>
  <c r="L3" i="1"/>
  <c r="P3" i="1"/>
  <c r="I4" i="1"/>
  <c r="P4" i="1"/>
  <c r="I5" i="1"/>
  <c r="P5" i="1"/>
  <c r="I6" i="1"/>
  <c r="P6" i="1"/>
  <c r="I7" i="1"/>
  <c r="P7" i="1"/>
  <c r="I8" i="1"/>
  <c r="P8" i="1"/>
  <c r="I9" i="1"/>
  <c r="P9" i="1"/>
  <c r="I10" i="1"/>
  <c r="P10" i="1"/>
  <c r="I11" i="1"/>
  <c r="P11" i="1"/>
  <c r="I12" i="1"/>
  <c r="P12" i="1"/>
  <c r="I13" i="1"/>
  <c r="P13" i="1"/>
  <c r="I14" i="1"/>
  <c r="P14" i="1"/>
  <c r="I15" i="1"/>
  <c r="P15" i="1"/>
  <c r="I16" i="1"/>
  <c r="P16" i="1"/>
  <c r="I17" i="1"/>
  <c r="P17" i="1"/>
  <c r="I18" i="1"/>
  <c r="P18" i="1"/>
  <c r="I19" i="1"/>
  <c r="P19" i="1"/>
  <c r="L20" i="1"/>
  <c r="P20" i="1"/>
  <c r="I21" i="1"/>
  <c r="P21" i="1"/>
  <c r="I22" i="1"/>
  <c r="P22" i="1"/>
  <c r="I23" i="1"/>
  <c r="P23" i="1"/>
  <c r="I24" i="1"/>
  <c r="P24" i="1"/>
  <c r="I25" i="1"/>
  <c r="P25" i="1"/>
  <c r="I26" i="1"/>
  <c r="P26" i="1"/>
  <c r="I27" i="1"/>
  <c r="P27" i="1"/>
  <c r="I28" i="1"/>
  <c r="P28" i="1"/>
  <c r="I29" i="1"/>
  <c r="P29" i="1"/>
  <c r="I30" i="1"/>
  <c r="P30" i="1"/>
  <c r="I31" i="1"/>
  <c r="P31" i="1"/>
  <c r="I32" i="1"/>
  <c r="P32" i="1"/>
  <c r="I33" i="1"/>
  <c r="P33" i="1"/>
  <c r="I34" i="1"/>
  <c r="P34" i="1"/>
  <c r="I35" i="1"/>
  <c r="P35" i="1"/>
  <c r="I36" i="1"/>
  <c r="P36" i="1"/>
  <c r="I37" i="1"/>
  <c r="P37" i="1"/>
  <c r="I38" i="1"/>
  <c r="P38" i="1"/>
  <c r="I39" i="1"/>
  <c r="P39" i="1"/>
  <c r="I40" i="1"/>
  <c r="P40" i="1"/>
  <c r="I41" i="1"/>
  <c r="P41" i="1"/>
  <c r="I42" i="1"/>
  <c r="P42" i="1"/>
  <c r="I43" i="1"/>
  <c r="P43" i="1"/>
  <c r="I44" i="1"/>
  <c r="P44" i="1"/>
  <c r="I45" i="1"/>
  <c r="P45" i="1"/>
  <c r="I46" i="1"/>
  <c r="P46" i="1"/>
  <c r="I47" i="1"/>
  <c r="P47" i="1"/>
  <c r="I48" i="1"/>
  <c r="P48" i="1"/>
  <c r="I49" i="1"/>
  <c r="P49" i="1"/>
  <c r="I50" i="1"/>
  <c r="P50" i="1"/>
  <c r="I51" i="1"/>
  <c r="P51" i="1"/>
  <c r="I52" i="1"/>
  <c r="P52" i="1"/>
  <c r="I53" i="1"/>
  <c r="P53" i="1"/>
  <c r="I54" i="1"/>
  <c r="P54" i="1"/>
  <c r="I55" i="1"/>
  <c r="P55" i="1"/>
  <c r="I56" i="1"/>
  <c r="P56" i="1"/>
  <c r="I57" i="1"/>
  <c r="P57" i="1"/>
  <c r="I58" i="1"/>
  <c r="P58" i="1"/>
  <c r="I59" i="1"/>
  <c r="P59" i="1"/>
  <c r="I60" i="1"/>
  <c r="P60" i="1"/>
  <c r="I61" i="1"/>
  <c r="P61" i="1"/>
  <c r="I62" i="1"/>
  <c r="P62" i="1"/>
  <c r="I63" i="1"/>
  <c r="P63" i="1"/>
  <c r="I64" i="1"/>
  <c r="P64" i="1"/>
  <c r="I65" i="1"/>
  <c r="P65" i="1"/>
  <c r="I66" i="1"/>
  <c r="P66" i="1"/>
  <c r="I67" i="1"/>
  <c r="P67" i="1"/>
  <c r="I68" i="1"/>
  <c r="P68" i="1"/>
  <c r="I69" i="1"/>
  <c r="P69" i="1"/>
  <c r="I70" i="1"/>
  <c r="P70" i="1"/>
  <c r="I71" i="1"/>
  <c r="P71" i="1"/>
  <c r="I72" i="1"/>
  <c r="P72" i="1"/>
  <c r="I73" i="1"/>
  <c r="P73" i="1"/>
  <c r="I74" i="1"/>
  <c r="P74" i="1"/>
  <c r="I75" i="1"/>
  <c r="P75" i="1"/>
  <c r="I76" i="1"/>
  <c r="P76" i="1"/>
  <c r="I77" i="1"/>
  <c r="P77" i="1"/>
  <c r="I78" i="1"/>
  <c r="P78" i="1"/>
  <c r="I79" i="1"/>
  <c r="P79" i="1"/>
  <c r="I80" i="1"/>
  <c r="P80" i="1"/>
  <c r="I81" i="1"/>
  <c r="P81" i="1"/>
  <c r="I82" i="1"/>
  <c r="P82" i="1"/>
  <c r="I83" i="1"/>
  <c r="P83" i="1"/>
  <c r="I84" i="1"/>
  <c r="P84" i="1"/>
  <c r="I85" i="1"/>
  <c r="P85" i="1"/>
  <c r="I86" i="1"/>
  <c r="P86" i="1"/>
  <c r="I87" i="1"/>
  <c r="P87" i="1"/>
  <c r="I88" i="1"/>
  <c r="P88" i="1"/>
  <c r="I89" i="1"/>
  <c r="P89" i="1"/>
  <c r="I90" i="1"/>
  <c r="P90" i="1"/>
  <c r="I91" i="1"/>
  <c r="P91" i="1"/>
  <c r="I92" i="1"/>
  <c r="P92" i="1"/>
  <c r="I93" i="1"/>
  <c r="P93" i="1"/>
  <c r="I94" i="1"/>
  <c r="P94" i="1"/>
  <c r="I95" i="1"/>
  <c r="P95" i="1"/>
  <c r="I96" i="1"/>
  <c r="P96" i="1"/>
  <c r="I97" i="1"/>
  <c r="P97" i="1"/>
  <c r="I98" i="1"/>
  <c r="P98" i="1"/>
  <c r="I99" i="1"/>
  <c r="P99" i="1"/>
  <c r="I100" i="1"/>
  <c r="P100" i="1"/>
  <c r="I101" i="1"/>
  <c r="P101" i="1"/>
  <c r="I102" i="1"/>
  <c r="P102" i="1"/>
  <c r="I103" i="1"/>
  <c r="P103" i="1"/>
  <c r="I104" i="1"/>
  <c r="P104" i="1"/>
  <c r="I105" i="1"/>
  <c r="P105" i="1"/>
  <c r="I106" i="1"/>
  <c r="P106" i="1"/>
  <c r="I107" i="1"/>
  <c r="P107" i="1"/>
  <c r="I108" i="1"/>
  <c r="P108" i="1"/>
  <c r="I109" i="1"/>
  <c r="P109" i="1"/>
  <c r="I110" i="1"/>
  <c r="P110" i="1"/>
  <c r="I111" i="1"/>
  <c r="P111" i="1"/>
  <c r="I112" i="1"/>
  <c r="P112" i="1"/>
  <c r="I113" i="1"/>
  <c r="P113" i="1"/>
  <c r="I114" i="1"/>
  <c r="P114" i="1"/>
  <c r="I115" i="1"/>
  <c r="P115" i="1"/>
  <c r="I116" i="1"/>
  <c r="P116" i="1"/>
  <c r="I117" i="1"/>
  <c r="P117" i="1"/>
  <c r="P118" i="1"/>
  <c r="Q2" i="1"/>
  <c r="S2" i="1"/>
  <c r="Q3" i="1"/>
  <c r="S3" i="1"/>
  <c r="Q4" i="1"/>
  <c r="S4" i="1"/>
  <c r="Q5" i="1"/>
  <c r="S5" i="1"/>
  <c r="Q6" i="1"/>
  <c r="S6" i="1"/>
  <c r="Q7" i="1"/>
  <c r="S7" i="1"/>
  <c r="Q8" i="1"/>
  <c r="S8" i="1"/>
  <c r="Q9" i="1"/>
  <c r="S9" i="1"/>
  <c r="Q10" i="1"/>
  <c r="S10" i="1"/>
  <c r="Q11" i="1"/>
  <c r="S11" i="1"/>
  <c r="Q12" i="1"/>
  <c r="S12" i="1"/>
  <c r="Q13" i="1"/>
  <c r="S13" i="1"/>
  <c r="Q14" i="1"/>
  <c r="S14" i="1"/>
  <c r="Q15" i="1"/>
  <c r="S15" i="1"/>
  <c r="Q16" i="1"/>
  <c r="S16" i="1"/>
  <c r="Q17" i="1"/>
  <c r="S17" i="1"/>
  <c r="Q18" i="1"/>
  <c r="S18" i="1"/>
  <c r="Q19" i="1"/>
  <c r="S19" i="1"/>
  <c r="Q20" i="1"/>
  <c r="S20" i="1"/>
  <c r="Q21" i="1"/>
  <c r="S21" i="1"/>
  <c r="Q22" i="1"/>
  <c r="S22" i="1"/>
  <c r="Q23" i="1"/>
  <c r="S23" i="1"/>
  <c r="Q24" i="1"/>
  <c r="S24" i="1"/>
  <c r="Q25" i="1"/>
  <c r="S25" i="1"/>
  <c r="Q26" i="1"/>
  <c r="S26" i="1"/>
  <c r="Q27" i="1"/>
  <c r="S27" i="1"/>
  <c r="Q28" i="1"/>
  <c r="S28" i="1"/>
  <c r="Q29" i="1"/>
  <c r="S29" i="1"/>
  <c r="Q30" i="1"/>
  <c r="S30" i="1"/>
  <c r="Q31" i="1"/>
  <c r="S31" i="1"/>
  <c r="Q32" i="1"/>
  <c r="S32" i="1"/>
  <c r="Q33" i="1"/>
  <c r="S33" i="1"/>
  <c r="Q34" i="1"/>
  <c r="S34" i="1"/>
  <c r="Q35" i="1"/>
  <c r="S35" i="1"/>
  <c r="Q36" i="1"/>
  <c r="S36" i="1"/>
  <c r="Q37" i="1"/>
  <c r="S37" i="1"/>
  <c r="Q38" i="1"/>
  <c r="S38" i="1"/>
  <c r="Q39" i="1"/>
  <c r="S39" i="1"/>
  <c r="Q40" i="1"/>
  <c r="S40" i="1"/>
  <c r="Q41" i="1"/>
  <c r="S41" i="1"/>
  <c r="Q42" i="1"/>
  <c r="S42" i="1"/>
  <c r="Q43" i="1"/>
  <c r="S43" i="1"/>
  <c r="Q44" i="1"/>
  <c r="S44" i="1"/>
  <c r="Q45" i="1"/>
  <c r="S45" i="1"/>
  <c r="Q46" i="1"/>
  <c r="S46" i="1"/>
  <c r="Q47" i="1"/>
  <c r="S47" i="1"/>
  <c r="Q48" i="1"/>
  <c r="S48" i="1"/>
  <c r="Q49" i="1"/>
  <c r="S49" i="1"/>
  <c r="Q50" i="1"/>
  <c r="S50" i="1"/>
  <c r="Q51" i="1"/>
  <c r="S51" i="1"/>
  <c r="Q52" i="1"/>
  <c r="S52" i="1"/>
  <c r="Q53" i="1"/>
  <c r="S53" i="1"/>
  <c r="Q54" i="1"/>
  <c r="S54" i="1"/>
  <c r="Q55" i="1"/>
  <c r="S55" i="1"/>
  <c r="Q56" i="1"/>
  <c r="S56" i="1"/>
  <c r="Q57" i="1"/>
  <c r="S57" i="1"/>
  <c r="Q58" i="1"/>
  <c r="S58" i="1"/>
  <c r="Q59" i="1"/>
  <c r="S59" i="1"/>
  <c r="Q60" i="1"/>
  <c r="S60" i="1"/>
  <c r="Q61" i="1"/>
  <c r="S61" i="1"/>
  <c r="Q62" i="1"/>
  <c r="S62" i="1"/>
  <c r="Q63" i="1"/>
  <c r="S63" i="1"/>
  <c r="Q64" i="1"/>
  <c r="S64" i="1"/>
  <c r="Q65" i="1"/>
  <c r="S65" i="1"/>
  <c r="Q66" i="1"/>
  <c r="S66" i="1"/>
  <c r="Q67" i="1"/>
  <c r="S67" i="1"/>
  <c r="Q68" i="1"/>
  <c r="S68" i="1"/>
  <c r="Q69" i="1"/>
  <c r="S69" i="1"/>
  <c r="Q70" i="1"/>
  <c r="S70" i="1"/>
  <c r="Q71" i="1"/>
  <c r="S71" i="1"/>
  <c r="Q72" i="1"/>
  <c r="S72" i="1"/>
  <c r="Q73" i="1"/>
  <c r="S73" i="1"/>
  <c r="Q74" i="1"/>
  <c r="S74" i="1"/>
  <c r="Q75" i="1"/>
  <c r="S75" i="1"/>
  <c r="Q76" i="1"/>
  <c r="S76" i="1"/>
  <c r="Q77" i="1"/>
  <c r="S77" i="1"/>
  <c r="Q78" i="1"/>
  <c r="S78" i="1"/>
  <c r="Q79" i="1"/>
  <c r="S79" i="1"/>
  <c r="Q80" i="1"/>
  <c r="S80" i="1"/>
  <c r="Q81" i="1"/>
  <c r="S81" i="1"/>
  <c r="Q82" i="1"/>
  <c r="S82" i="1"/>
  <c r="Q83" i="1"/>
  <c r="S83" i="1"/>
  <c r="Q84" i="1"/>
  <c r="S84" i="1"/>
  <c r="Q85" i="1"/>
  <c r="S85" i="1"/>
  <c r="Q86" i="1"/>
  <c r="S86" i="1"/>
  <c r="Q87" i="1"/>
  <c r="S87" i="1"/>
  <c r="Q88" i="1"/>
  <c r="S88" i="1"/>
  <c r="Q89" i="1"/>
  <c r="S89" i="1"/>
  <c r="Q90" i="1"/>
  <c r="S90" i="1"/>
  <c r="Q91" i="1"/>
  <c r="S91" i="1"/>
  <c r="Q92" i="1"/>
  <c r="S92" i="1"/>
  <c r="Q93" i="1"/>
  <c r="S93" i="1"/>
  <c r="Q94" i="1"/>
  <c r="S94" i="1"/>
  <c r="Q95" i="1"/>
  <c r="S95" i="1"/>
  <c r="Q96" i="1"/>
  <c r="S96" i="1"/>
  <c r="Q97" i="1"/>
  <c r="S97" i="1"/>
  <c r="Q98" i="1"/>
  <c r="S98" i="1"/>
  <c r="Q99" i="1"/>
  <c r="S99" i="1"/>
  <c r="Q100" i="1"/>
  <c r="S100" i="1"/>
  <c r="Q101" i="1"/>
  <c r="S101" i="1"/>
  <c r="Q102" i="1"/>
  <c r="S102" i="1"/>
  <c r="Q103" i="1"/>
  <c r="S103" i="1"/>
  <c r="Q104" i="1"/>
  <c r="S104" i="1"/>
  <c r="Q105" i="1"/>
  <c r="S105" i="1"/>
  <c r="Q106" i="1"/>
  <c r="S106" i="1"/>
  <c r="Q107" i="1"/>
  <c r="S107" i="1"/>
  <c r="Q108" i="1"/>
  <c r="S108" i="1"/>
  <c r="Q109" i="1"/>
  <c r="S109" i="1"/>
  <c r="Q110" i="1"/>
  <c r="S110" i="1"/>
  <c r="Q111" i="1"/>
  <c r="S111" i="1"/>
  <c r="Q112" i="1"/>
  <c r="S112" i="1"/>
  <c r="Q113" i="1"/>
  <c r="S113" i="1"/>
  <c r="Q114" i="1"/>
  <c r="S114" i="1"/>
  <c r="Q115" i="1"/>
  <c r="S115" i="1"/>
  <c r="Q116" i="1"/>
  <c r="S116" i="1"/>
  <c r="Q117" i="1"/>
  <c r="S117" i="1"/>
  <c r="Q118" i="1"/>
  <c r="S118" i="1"/>
  <c r="J118" i="1" l="1"/>
  <c r="L118" i="1" s="1"/>
  <c r="J126" i="1"/>
  <c r="L126" i="1" s="1"/>
  <c r="J107" i="1"/>
  <c r="L107" i="1" s="1"/>
  <c r="J103" i="1"/>
  <c r="L103" i="1" s="1"/>
  <c r="J101" i="1"/>
  <c r="L101" i="1" s="1"/>
  <c r="J97" i="1"/>
  <c r="L97" i="1" s="1"/>
  <c r="J95" i="1"/>
  <c r="L95" i="1" s="1"/>
  <c r="J93" i="1"/>
  <c r="L93" i="1" s="1"/>
  <c r="J91" i="1"/>
  <c r="L91" i="1" s="1"/>
  <c r="J89" i="1"/>
  <c r="L89" i="1" s="1"/>
  <c r="J87" i="1"/>
  <c r="L87" i="1" s="1"/>
  <c r="J85" i="1"/>
  <c r="L85" i="1" s="1"/>
  <c r="J83" i="1"/>
  <c r="L83" i="1" s="1"/>
  <c r="J81" i="1"/>
  <c r="L81" i="1" s="1"/>
  <c r="J79" i="1"/>
  <c r="L79" i="1" s="1"/>
  <c r="J77" i="1"/>
  <c r="L77" i="1" s="1"/>
  <c r="J75" i="1"/>
  <c r="L75" i="1" s="1"/>
  <c r="J73" i="1"/>
  <c r="L73" i="1" s="1"/>
  <c r="J71" i="1"/>
  <c r="L71" i="1" s="1"/>
  <c r="J69" i="1"/>
  <c r="L69" i="1" s="1"/>
  <c r="J67" i="1"/>
  <c r="L67" i="1" s="1"/>
  <c r="J65" i="1"/>
  <c r="L65" i="1" s="1"/>
  <c r="J63" i="1"/>
  <c r="L63" i="1" s="1"/>
  <c r="J61" i="1"/>
  <c r="L61" i="1" s="1"/>
  <c r="J59" i="1"/>
  <c r="L59" i="1" s="1"/>
  <c r="J57" i="1"/>
  <c r="L57" i="1" s="1"/>
  <c r="J55" i="1"/>
  <c r="L55" i="1" s="1"/>
  <c r="J53" i="1"/>
  <c r="L53" i="1" s="1"/>
  <c r="J51" i="1"/>
  <c r="L51" i="1" s="1"/>
  <c r="J49" i="1"/>
  <c r="L49" i="1" s="1"/>
  <c r="J47" i="1"/>
  <c r="L47" i="1" s="1"/>
  <c r="J45" i="1"/>
  <c r="L45" i="1" s="1"/>
  <c r="J43" i="1"/>
  <c r="L43" i="1" s="1"/>
  <c r="J41" i="1"/>
  <c r="L41" i="1" s="1"/>
  <c r="J39" i="1"/>
  <c r="L39" i="1" s="1"/>
  <c r="J37" i="1"/>
  <c r="L37" i="1" s="1"/>
  <c r="J35" i="1"/>
  <c r="L35" i="1" s="1"/>
  <c r="J33" i="1"/>
  <c r="L33" i="1" s="1"/>
  <c r="J31" i="1"/>
  <c r="L31" i="1" s="1"/>
  <c r="J29" i="1"/>
  <c r="L29" i="1" s="1"/>
  <c r="J27" i="1"/>
  <c r="L27" i="1" s="1"/>
  <c r="J25" i="1"/>
  <c r="L25" i="1" s="1"/>
  <c r="J23" i="1"/>
  <c r="L23" i="1" s="1"/>
  <c r="J21" i="1"/>
  <c r="L21" i="1" s="1"/>
  <c r="J19" i="1"/>
  <c r="L19" i="1" s="1"/>
  <c r="J17" i="1"/>
  <c r="L17" i="1" s="1"/>
  <c r="J15" i="1"/>
  <c r="L15" i="1" s="1"/>
  <c r="J13" i="1"/>
  <c r="L13" i="1" s="1"/>
  <c r="J11" i="1"/>
  <c r="L11" i="1" s="1"/>
  <c r="J9" i="1"/>
  <c r="L9" i="1" s="1"/>
  <c r="J7" i="1"/>
  <c r="L7" i="1" s="1"/>
  <c r="J5" i="1"/>
  <c r="L5" i="1" s="1"/>
  <c r="J119" i="1"/>
  <c r="L119" i="1" s="1"/>
  <c r="J123" i="1"/>
  <c r="L123" i="1" s="1"/>
  <c r="J127" i="1"/>
  <c r="L127" i="1" s="1"/>
  <c r="J131" i="1"/>
  <c r="L131" i="1" s="1"/>
  <c r="J135" i="1"/>
  <c r="L135" i="1" s="1"/>
  <c r="J122" i="1"/>
  <c r="L122" i="1" s="1"/>
  <c r="J130" i="1"/>
  <c r="L130" i="1" s="1"/>
  <c r="J134" i="1"/>
  <c r="L134" i="1" s="1"/>
  <c r="J117" i="1"/>
  <c r="L117" i="1" s="1"/>
  <c r="J115" i="1"/>
  <c r="L115" i="1" s="1"/>
  <c r="J113" i="1"/>
  <c r="L113" i="1" s="1"/>
  <c r="J111" i="1"/>
  <c r="L111" i="1" s="1"/>
  <c r="J109" i="1"/>
  <c r="L109" i="1" s="1"/>
  <c r="J105" i="1"/>
  <c r="L105" i="1" s="1"/>
  <c r="J99" i="1"/>
  <c r="L99" i="1" s="1"/>
  <c r="J120" i="1"/>
  <c r="L120" i="1" s="1"/>
  <c r="J124" i="1"/>
  <c r="L124" i="1" s="1"/>
  <c r="J128" i="1"/>
  <c r="L128" i="1" s="1"/>
  <c r="J132" i="1"/>
  <c r="L132" i="1" s="1"/>
  <c r="J136" i="1"/>
  <c r="L136" i="1" s="1"/>
  <c r="J116" i="1"/>
  <c r="L116" i="1" s="1"/>
  <c r="J114" i="1"/>
  <c r="L114" i="1" s="1"/>
  <c r="J112" i="1"/>
  <c r="L112" i="1" s="1"/>
  <c r="J110" i="1"/>
  <c r="L110" i="1" s="1"/>
  <c r="J108" i="1"/>
  <c r="L108" i="1" s="1"/>
  <c r="J106" i="1"/>
  <c r="L106" i="1" s="1"/>
  <c r="J104" i="1"/>
  <c r="L104" i="1" s="1"/>
  <c r="J102" i="1"/>
  <c r="L102" i="1" s="1"/>
  <c r="J100" i="1"/>
  <c r="L100" i="1" s="1"/>
  <c r="J98" i="1"/>
  <c r="L98" i="1" s="1"/>
  <c r="J96" i="1"/>
  <c r="L96" i="1" s="1"/>
  <c r="J94" i="1"/>
  <c r="L94" i="1" s="1"/>
  <c r="J92" i="1"/>
  <c r="L92" i="1" s="1"/>
  <c r="J90" i="1"/>
  <c r="L90" i="1" s="1"/>
  <c r="J88" i="1"/>
  <c r="L88" i="1" s="1"/>
  <c r="J86" i="1"/>
  <c r="L86" i="1" s="1"/>
  <c r="J84" i="1"/>
  <c r="L84" i="1" s="1"/>
  <c r="J82" i="1"/>
  <c r="L82" i="1" s="1"/>
  <c r="J80" i="1"/>
  <c r="L80" i="1" s="1"/>
  <c r="J78" i="1"/>
  <c r="L78" i="1" s="1"/>
  <c r="J76" i="1"/>
  <c r="L76" i="1" s="1"/>
  <c r="J74" i="1"/>
  <c r="L74" i="1" s="1"/>
  <c r="J72" i="1"/>
  <c r="L72" i="1" s="1"/>
  <c r="J70" i="1"/>
  <c r="L70" i="1" s="1"/>
  <c r="J68" i="1"/>
  <c r="L68" i="1" s="1"/>
  <c r="J66" i="1"/>
  <c r="L66" i="1" s="1"/>
  <c r="J64" i="1"/>
  <c r="L64" i="1" s="1"/>
  <c r="J62" i="1"/>
  <c r="L62" i="1" s="1"/>
  <c r="J60" i="1"/>
  <c r="L60" i="1" s="1"/>
  <c r="J58" i="1"/>
  <c r="L58" i="1" s="1"/>
  <c r="J56" i="1"/>
  <c r="L56" i="1" s="1"/>
  <c r="J54" i="1"/>
  <c r="L54" i="1" s="1"/>
  <c r="J52" i="1"/>
  <c r="L52" i="1" s="1"/>
  <c r="J50" i="1"/>
  <c r="L50" i="1" s="1"/>
  <c r="J48" i="1"/>
  <c r="L48" i="1" s="1"/>
  <c r="J46" i="1"/>
  <c r="L46" i="1" s="1"/>
  <c r="J44" i="1"/>
  <c r="L44" i="1" s="1"/>
  <c r="J42" i="1"/>
  <c r="L42" i="1" s="1"/>
  <c r="J40" i="1"/>
  <c r="L40" i="1" s="1"/>
  <c r="J38" i="1"/>
  <c r="L38" i="1" s="1"/>
  <c r="J36" i="1"/>
  <c r="L36" i="1" s="1"/>
  <c r="J34" i="1"/>
  <c r="L34" i="1" s="1"/>
  <c r="J32" i="1"/>
  <c r="L32" i="1" s="1"/>
  <c r="J30" i="1"/>
  <c r="L30" i="1" s="1"/>
  <c r="J28" i="1"/>
  <c r="L28" i="1" s="1"/>
  <c r="J26" i="1"/>
  <c r="L26" i="1" s="1"/>
  <c r="J24" i="1"/>
  <c r="L24" i="1" s="1"/>
  <c r="J22" i="1"/>
  <c r="L22" i="1" s="1"/>
  <c r="J18" i="1"/>
  <c r="L18" i="1" s="1"/>
  <c r="J16" i="1"/>
  <c r="L16" i="1" s="1"/>
  <c r="J14" i="1"/>
  <c r="L14" i="1" s="1"/>
  <c r="J12" i="1"/>
  <c r="L12" i="1" s="1"/>
  <c r="J10" i="1"/>
  <c r="L10" i="1" s="1"/>
  <c r="J8" i="1"/>
  <c r="L8" i="1" s="1"/>
  <c r="J6" i="1"/>
  <c r="L6" i="1" s="1"/>
  <c r="J4" i="1"/>
  <c r="L4" i="1" s="1"/>
  <c r="J121" i="1"/>
  <c r="L121" i="1" s="1"/>
  <c r="J125" i="1"/>
  <c r="L125" i="1" s="1"/>
  <c r="J129" i="1"/>
  <c r="L129" i="1" s="1"/>
  <c r="J133" i="1"/>
  <c r="L133" i="1" s="1"/>
  <c r="J137" i="1"/>
  <c r="L137" i="1" s="1"/>
  <c r="AI7" i="4"/>
  <c r="A50" i="4" s="1"/>
  <c r="AH7" i="4"/>
  <c r="A49" i="4" s="1"/>
  <c r="AG7" i="4"/>
  <c r="A48" i="4" s="1"/>
  <c r="AF7" i="4"/>
  <c r="A47" i="4" s="1"/>
  <c r="AE7" i="4"/>
  <c r="A46" i="4" s="1"/>
  <c r="AD7" i="4"/>
  <c r="A45" i="4" s="1"/>
  <c r="AC7" i="4"/>
  <c r="A44" i="4" s="1"/>
  <c r="D44" i="4" s="1"/>
  <c r="AB7" i="4"/>
  <c r="A43" i="4" s="1"/>
  <c r="D43" i="4" s="1"/>
  <c r="AA7" i="4"/>
  <c r="A42" i="4" s="1"/>
  <c r="Z7" i="4"/>
  <c r="A41" i="4" s="1"/>
  <c r="Y7" i="4"/>
  <c r="A40" i="4" s="1"/>
  <c r="X7" i="4"/>
  <c r="A39" i="4" s="1"/>
  <c r="W7" i="4"/>
  <c r="A38" i="4" s="1"/>
  <c r="V7" i="4"/>
  <c r="A37" i="4" s="1"/>
  <c r="U7" i="4"/>
  <c r="A36" i="4" s="1"/>
  <c r="T7" i="4"/>
  <c r="A35" i="4" s="1"/>
  <c r="S7" i="4"/>
  <c r="A34" i="4" s="1"/>
  <c r="R7" i="4"/>
  <c r="A33" i="4" s="1"/>
  <c r="Q7" i="4"/>
  <c r="A32" i="4" s="1"/>
  <c r="P7" i="4"/>
  <c r="A31" i="4" s="1"/>
  <c r="O7" i="4"/>
  <c r="A30" i="4" s="1"/>
  <c r="N7" i="4"/>
  <c r="A29" i="4" s="1"/>
  <c r="M7" i="4"/>
  <c r="A28" i="4" s="1"/>
  <c r="L7" i="4"/>
  <c r="A27" i="4" s="1"/>
  <c r="K7" i="4"/>
  <c r="A26" i="4" s="1"/>
  <c r="J7" i="4"/>
  <c r="A25" i="4" s="1"/>
  <c r="I7" i="4"/>
  <c r="A24" i="4" s="1"/>
  <c r="H7" i="4"/>
  <c r="A23" i="4" s="1"/>
  <c r="G7" i="4"/>
  <c r="A22" i="4" s="1"/>
  <c r="F7" i="4"/>
  <c r="A21" i="4" s="1"/>
  <c r="E7" i="4"/>
  <c r="O20" i="4" l="1"/>
  <c r="O21" i="4"/>
  <c r="AL15" i="4"/>
  <c r="AL13" i="4"/>
  <c r="AK12" i="4"/>
  <c r="AK14" i="4"/>
  <c r="AL16" i="4"/>
  <c r="AK16" i="4"/>
  <c r="AK13" i="4"/>
  <c r="AL14" i="4"/>
  <c r="AK15" i="4"/>
  <c r="AL12" i="4"/>
  <c r="AK11" i="4"/>
  <c r="AL11" i="4"/>
  <c r="A20" i="4"/>
  <c r="B20" i="4" s="1"/>
  <c r="C20" i="4" s="1"/>
  <c r="E11" i="4"/>
  <c r="E24" i="4"/>
  <c r="B24" i="4"/>
  <c r="C24" i="4" s="1"/>
  <c r="D24" i="4"/>
  <c r="B29" i="4"/>
  <c r="C29" i="4" s="1"/>
  <c r="E29" i="4"/>
  <c r="D29" i="4"/>
  <c r="E23" i="4"/>
  <c r="B23" i="4"/>
  <c r="C23" i="4" s="1"/>
  <c r="D23" i="4"/>
  <c r="E27" i="4"/>
  <c r="B27" i="4"/>
  <c r="C27" i="4" s="1"/>
  <c r="D27" i="4"/>
  <c r="B31" i="4"/>
  <c r="C31" i="4" s="1"/>
  <c r="D31" i="4"/>
  <c r="E31" i="4"/>
  <c r="F31" i="4"/>
  <c r="B35" i="4"/>
  <c r="C35" i="4" s="1"/>
  <c r="E35" i="4"/>
  <c r="D35" i="4"/>
  <c r="B39" i="4"/>
  <c r="C39" i="4" s="1"/>
  <c r="E39" i="4"/>
  <c r="D39" i="4"/>
  <c r="F39" i="4"/>
  <c r="B43" i="4"/>
  <c r="C43" i="4" s="1"/>
  <c r="E43" i="4"/>
  <c r="E47" i="4"/>
  <c r="B47" i="4"/>
  <c r="C47" i="4" s="1"/>
  <c r="D47" i="4"/>
  <c r="B28" i="4"/>
  <c r="C28" i="4" s="1"/>
  <c r="E28" i="4"/>
  <c r="D28" i="4"/>
  <c r="D32" i="4"/>
  <c r="E32" i="4"/>
  <c r="B32" i="4"/>
  <c r="C32" i="4" s="1"/>
  <c r="F32" i="4"/>
  <c r="E36" i="4"/>
  <c r="B36" i="4"/>
  <c r="C36" i="4" s="1"/>
  <c r="D36" i="4"/>
  <c r="B40" i="4"/>
  <c r="C40" i="4" s="1"/>
  <c r="E40" i="4"/>
  <c r="D40" i="4"/>
  <c r="B44" i="4"/>
  <c r="C44" i="4" s="1"/>
  <c r="E44" i="4"/>
  <c r="E48" i="4"/>
  <c r="B48" i="4"/>
  <c r="C48" i="4" s="1"/>
  <c r="D48" i="4"/>
  <c r="E25" i="4"/>
  <c r="B25" i="4"/>
  <c r="C25" i="4" s="1"/>
  <c r="F25" i="4"/>
  <c r="D25" i="4"/>
  <c r="B33" i="4"/>
  <c r="C33" i="4" s="1"/>
  <c r="E33" i="4"/>
  <c r="D33" i="4"/>
  <c r="B37" i="4"/>
  <c r="C37" i="4" s="1"/>
  <c r="E37" i="4"/>
  <c r="D37" i="4"/>
  <c r="B41" i="4"/>
  <c r="C41" i="4" s="1"/>
  <c r="E41" i="4"/>
  <c r="D41" i="4"/>
  <c r="B45" i="4"/>
  <c r="C45" i="4" s="1"/>
  <c r="E45" i="4"/>
  <c r="D45" i="4"/>
  <c r="F45" i="4"/>
  <c r="E49" i="4"/>
  <c r="B49" i="4"/>
  <c r="C49" i="4" s="1"/>
  <c r="D49" i="4"/>
  <c r="B21" i="4"/>
  <c r="C21" i="4" s="1"/>
  <c r="E21" i="4"/>
  <c r="D21" i="4"/>
  <c r="E22" i="4"/>
  <c r="B22" i="4"/>
  <c r="C22" i="4" s="1"/>
  <c r="D22" i="4"/>
  <c r="E26" i="4"/>
  <c r="B26" i="4"/>
  <c r="C26" i="4" s="1"/>
  <c r="D26" i="4"/>
  <c r="B30" i="4"/>
  <c r="C30" i="4" s="1"/>
  <c r="E30" i="4"/>
  <c r="D30" i="4"/>
  <c r="B34" i="4"/>
  <c r="C34" i="4" s="1"/>
  <c r="E34" i="4"/>
  <c r="D34" i="4"/>
  <c r="D38" i="4"/>
  <c r="E38" i="4"/>
  <c r="F38" i="4"/>
  <c r="B38" i="4"/>
  <c r="C38" i="4" s="1"/>
  <c r="B42" i="4"/>
  <c r="C42" i="4" s="1"/>
  <c r="E42" i="4"/>
  <c r="D42" i="4"/>
  <c r="D46" i="4"/>
  <c r="B46" i="4"/>
  <c r="C46" i="4" s="1"/>
  <c r="E46" i="4"/>
  <c r="F46" i="4"/>
  <c r="B50" i="4"/>
  <c r="C50" i="4" s="1"/>
  <c r="E50" i="4"/>
  <c r="D50" i="4"/>
  <c r="F50" i="4"/>
  <c r="E9" i="4"/>
  <c r="E16" i="4"/>
  <c r="E12" i="4"/>
  <c r="E14" i="4"/>
  <c r="E13" i="4"/>
  <c r="E15" i="4"/>
  <c r="I9" i="4"/>
  <c r="I15" i="4"/>
  <c r="I13" i="4"/>
  <c r="I11" i="4"/>
  <c r="I16" i="4"/>
  <c r="I12" i="4"/>
  <c r="I14" i="4"/>
  <c r="M9" i="4"/>
  <c r="M15" i="4"/>
  <c r="M13" i="4"/>
  <c r="M11" i="4"/>
  <c r="M14" i="4"/>
  <c r="M16" i="4"/>
  <c r="M12" i="4"/>
  <c r="Q9" i="4"/>
  <c r="Q15" i="4"/>
  <c r="Q13" i="4"/>
  <c r="Q11" i="4"/>
  <c r="Q16" i="4"/>
  <c r="Q12" i="4"/>
  <c r="Q14" i="4"/>
  <c r="U9" i="4"/>
  <c r="U15" i="4"/>
  <c r="U13" i="4"/>
  <c r="U11" i="4"/>
  <c r="U14" i="4"/>
  <c r="U16" i="4"/>
  <c r="U12" i="4"/>
  <c r="Y9" i="4"/>
  <c r="Y15" i="4"/>
  <c r="Y13" i="4"/>
  <c r="Y11" i="4"/>
  <c r="Y16" i="4"/>
  <c r="Y12" i="4"/>
  <c r="Y14" i="4"/>
  <c r="AC9" i="4"/>
  <c r="AC15" i="4"/>
  <c r="AC13" i="4"/>
  <c r="AC11" i="4"/>
  <c r="AC14" i="4"/>
  <c r="AC16" i="4"/>
  <c r="AC12" i="4"/>
  <c r="F9" i="4"/>
  <c r="F16" i="4"/>
  <c r="F14" i="4"/>
  <c r="F13" i="4"/>
  <c r="F15" i="4"/>
  <c r="F11" i="4"/>
  <c r="F12" i="4"/>
  <c r="J9" i="4"/>
  <c r="J16" i="4"/>
  <c r="J14" i="4"/>
  <c r="J12" i="4"/>
  <c r="J15" i="4"/>
  <c r="J13" i="4"/>
  <c r="J11" i="4"/>
  <c r="N9" i="4"/>
  <c r="N16" i="4"/>
  <c r="N14" i="4"/>
  <c r="N12" i="4"/>
  <c r="N13" i="4"/>
  <c r="N11" i="4"/>
  <c r="N15" i="4"/>
  <c r="R9" i="4"/>
  <c r="R16" i="4"/>
  <c r="R14" i="4"/>
  <c r="R12" i="4"/>
  <c r="R15" i="4"/>
  <c r="R11" i="4"/>
  <c r="R13" i="4"/>
  <c r="V9" i="4"/>
  <c r="V16" i="4"/>
  <c r="V14" i="4"/>
  <c r="V12" i="4"/>
  <c r="V13" i="4"/>
  <c r="V15" i="4"/>
  <c r="V11" i="4"/>
  <c r="Z9" i="4"/>
  <c r="Z16" i="4"/>
  <c r="Z14" i="4"/>
  <c r="Z12" i="4"/>
  <c r="Z15" i="4"/>
  <c r="Z13" i="4"/>
  <c r="Z11" i="4"/>
  <c r="AD9" i="4"/>
  <c r="AD16" i="4"/>
  <c r="AD14" i="4"/>
  <c r="AD12" i="4"/>
  <c r="AD13" i="4"/>
  <c r="AD11" i="4"/>
  <c r="AD15" i="4"/>
  <c r="G9" i="4"/>
  <c r="G16" i="4"/>
  <c r="G14" i="4"/>
  <c r="G12" i="4"/>
  <c r="G15" i="4"/>
  <c r="G11" i="4"/>
  <c r="G13" i="4"/>
  <c r="K9" i="4"/>
  <c r="K16" i="4"/>
  <c r="K14" i="4"/>
  <c r="K12" i="4"/>
  <c r="K13" i="4"/>
  <c r="K11" i="4"/>
  <c r="K15" i="4"/>
  <c r="O9" i="4"/>
  <c r="O16" i="4"/>
  <c r="O14" i="4"/>
  <c r="O12" i="4"/>
  <c r="O15" i="4"/>
  <c r="O13" i="4"/>
  <c r="O11" i="4"/>
  <c r="S9" i="4"/>
  <c r="S16" i="4"/>
  <c r="S14" i="4"/>
  <c r="S12" i="4"/>
  <c r="S11" i="4"/>
  <c r="S13" i="4"/>
  <c r="S15" i="4"/>
  <c r="W9" i="4"/>
  <c r="W16" i="4"/>
  <c r="W14" i="4"/>
  <c r="W12" i="4"/>
  <c r="W15" i="4"/>
  <c r="W11" i="4"/>
  <c r="W13" i="4"/>
  <c r="AA9" i="4"/>
  <c r="AA16" i="4"/>
  <c r="AA14" i="4"/>
  <c r="AA12" i="4"/>
  <c r="AA13" i="4"/>
  <c r="AA11" i="4"/>
  <c r="AA15" i="4"/>
  <c r="AE9" i="4"/>
  <c r="AE16" i="4"/>
  <c r="AE14" i="4"/>
  <c r="AE12" i="4"/>
  <c r="AE15" i="4"/>
  <c r="AE13" i="4"/>
  <c r="AE11" i="4"/>
  <c r="H9" i="4"/>
  <c r="H15" i="4"/>
  <c r="H13" i="4"/>
  <c r="H14" i="4"/>
  <c r="H11" i="4"/>
  <c r="H16" i="4"/>
  <c r="H12" i="4"/>
  <c r="L9" i="4"/>
  <c r="L15" i="4"/>
  <c r="L13" i="4"/>
  <c r="L16" i="4"/>
  <c r="L12" i="4"/>
  <c r="L11" i="4"/>
  <c r="L14" i="4"/>
  <c r="P9" i="4"/>
  <c r="P15" i="4"/>
  <c r="P13" i="4"/>
  <c r="P14" i="4"/>
  <c r="P16" i="4"/>
  <c r="P12" i="4"/>
  <c r="P11" i="4"/>
  <c r="T9" i="4"/>
  <c r="T15" i="4"/>
  <c r="T13" i="4"/>
  <c r="T16" i="4"/>
  <c r="T12" i="4"/>
  <c r="T14" i="4"/>
  <c r="T11" i="4"/>
  <c r="X9" i="4"/>
  <c r="X15" i="4"/>
  <c r="X13" i="4"/>
  <c r="X14" i="4"/>
  <c r="X11" i="4"/>
  <c r="X16" i="4"/>
  <c r="X12" i="4"/>
  <c r="AB9" i="4"/>
  <c r="AB15" i="4"/>
  <c r="AB13" i="4"/>
  <c r="AB16" i="4"/>
  <c r="AB12" i="4"/>
  <c r="AB11" i="4"/>
  <c r="AB14" i="4"/>
  <c r="AF9" i="4"/>
  <c r="AF15" i="4"/>
  <c r="AF13" i="4"/>
  <c r="AF14" i="4"/>
  <c r="AF16" i="4"/>
  <c r="AF12" i="4"/>
  <c r="AF11" i="4"/>
  <c r="AG9" i="4"/>
  <c r="AG15" i="4"/>
  <c r="AG13" i="4"/>
  <c r="AG11" i="4"/>
  <c r="AG16" i="4"/>
  <c r="AG12" i="4"/>
  <c r="AG14" i="4"/>
  <c r="AH9" i="4"/>
  <c r="AH16" i="4"/>
  <c r="AH14" i="4"/>
  <c r="AH12" i="4"/>
  <c r="AH15" i="4"/>
  <c r="AH11" i="4"/>
  <c r="AH13" i="4"/>
  <c r="AI9" i="4"/>
  <c r="AI16" i="4"/>
  <c r="AI14" i="4"/>
  <c r="AI12" i="4"/>
  <c r="AI11" i="4"/>
  <c r="AI13" i="4"/>
  <c r="AI15" i="4"/>
  <c r="I8" i="4"/>
  <c r="Q10" i="4"/>
  <c r="Q8" i="4"/>
  <c r="J8" i="4"/>
  <c r="J10" i="4"/>
  <c r="R8" i="4"/>
  <c r="Z8" i="4"/>
  <c r="AD8" i="4"/>
  <c r="AD10" i="4"/>
  <c r="G8" i="4"/>
  <c r="O8" i="4"/>
  <c r="S8" i="4"/>
  <c r="W8" i="4"/>
  <c r="W10" i="4"/>
  <c r="AA8" i="4"/>
  <c r="AE8" i="4"/>
  <c r="AE10" i="4"/>
  <c r="AI8" i="4"/>
  <c r="AI10" i="4"/>
  <c r="E10" i="4"/>
  <c r="E8" i="4"/>
  <c r="M8" i="4"/>
  <c r="F8" i="4"/>
  <c r="N8" i="4"/>
  <c r="V8" i="4"/>
  <c r="AH8" i="4"/>
  <c r="K8" i="4"/>
  <c r="H8" i="4"/>
  <c r="L8" i="4"/>
  <c r="P10" i="4"/>
  <c r="P8" i="4"/>
  <c r="T8" i="4"/>
  <c r="X10" i="4"/>
  <c r="X8" i="4"/>
  <c r="AB8" i="4"/>
  <c r="AF10" i="4"/>
  <c r="AF8" i="4"/>
  <c r="U8" i="4"/>
  <c r="Y8" i="4"/>
  <c r="AC8" i="4"/>
  <c r="AG10" i="4"/>
  <c r="AG8" i="4"/>
  <c r="F49" i="4"/>
  <c r="F48" i="4"/>
  <c r="F47" i="4"/>
  <c r="O22" i="4" l="1"/>
  <c r="P22" i="4" s="1"/>
  <c r="F20" i="4"/>
  <c r="D20" i="4"/>
  <c r="I20" i="4" s="1"/>
  <c r="AL17" i="4"/>
  <c r="E20" i="4"/>
  <c r="I22" i="4" s="1"/>
  <c r="AJ13" i="4"/>
  <c r="AN13" i="4" s="1"/>
  <c r="AK17" i="4"/>
  <c r="AJ12" i="4"/>
  <c r="AN12" i="4" s="1"/>
  <c r="AJ15" i="4"/>
  <c r="AN15" i="4" s="1"/>
  <c r="AJ16" i="4"/>
  <c r="AN16" i="4" s="1"/>
  <c r="AJ11" i="4"/>
  <c r="AJ14" i="4"/>
  <c r="I19" i="4"/>
  <c r="F41" i="4"/>
  <c r="F42" i="4"/>
  <c r="AH10" i="4"/>
  <c r="AA10" i="4"/>
  <c r="Z10" i="4"/>
  <c r="P20" i="4" l="1"/>
  <c r="P21" i="4"/>
  <c r="J20" i="4"/>
  <c r="AN11" i="4"/>
  <c r="AM11" i="4"/>
  <c r="AJ17" i="4"/>
  <c r="AN14" i="4"/>
  <c r="I21" i="4"/>
  <c r="J21" i="4" s="1"/>
  <c r="F44" i="4"/>
  <c r="AC10" i="4"/>
  <c r="F43" i="4"/>
  <c r="AB10" i="4"/>
  <c r="AO11" i="4" l="1"/>
  <c r="AN17" i="4"/>
  <c r="AM17" i="4"/>
  <c r="F40" i="4"/>
  <c r="Y10" i="4"/>
  <c r="AO17" i="4" l="1"/>
  <c r="F22" i="4"/>
  <c r="G10" i="4"/>
  <c r="F21" i="4"/>
  <c r="F10" i="4"/>
  <c r="F27" i="4"/>
  <c r="L10" i="4"/>
  <c r="F37" i="4"/>
  <c r="F26" i="4"/>
  <c r="F36" i="4"/>
  <c r="F24" i="4" l="1"/>
  <c r="I10" i="4"/>
  <c r="F34" i="4"/>
  <c r="S10" i="4"/>
  <c r="V10" i="4"/>
  <c r="K10" i="4"/>
  <c r="U10" i="4"/>
  <c r="F29" i="4"/>
  <c r="N10" i="4"/>
  <c r="F35" i="4"/>
  <c r="T10" i="4"/>
  <c r="F23" i="4"/>
  <c r="H10" i="4"/>
  <c r="F28" i="4"/>
  <c r="M10" i="4"/>
  <c r="F33" i="4"/>
  <c r="R10" i="4"/>
  <c r="F30" i="4"/>
  <c r="O10" i="4"/>
  <c r="I23" i="4" l="1"/>
  <c r="AJ10" i="4"/>
  <c r="AM15" i="4"/>
  <c r="AO15" i="4" s="1"/>
  <c r="AM16" i="4"/>
  <c r="AO16" i="4" s="1"/>
  <c r="AM14" i="4"/>
  <c r="AO14" i="4" s="1"/>
  <c r="AM12" i="4"/>
  <c r="AO12" i="4" s="1"/>
  <c r="AM13" i="4"/>
  <c r="AO13" i="4" s="1"/>
</calcChain>
</file>

<file path=xl/sharedStrings.xml><?xml version="1.0" encoding="utf-8"?>
<sst xmlns="http://schemas.openxmlformats.org/spreadsheetml/2006/main" count="545" uniqueCount="166">
  <si>
    <t>VALOR FRETE</t>
  </si>
  <si>
    <t>VALOR PAGO</t>
  </si>
  <si>
    <t>DATA HORA AGENDADA</t>
  </si>
  <si>
    <t>VIAGEM</t>
  </si>
  <si>
    <t>KM</t>
  </si>
  <si>
    <t>ORIGEM</t>
  </si>
  <si>
    <t>DESTINO</t>
  </si>
  <si>
    <t>Frete Rodoviário</t>
  </si>
  <si>
    <t>FIORINO</t>
  </si>
  <si>
    <t>HR</t>
  </si>
  <si>
    <t>VAN</t>
  </si>
  <si>
    <t>VUC</t>
  </si>
  <si>
    <t>3/4</t>
  </si>
  <si>
    <t>TOCO</t>
  </si>
  <si>
    <t>TRUCK</t>
  </si>
  <si>
    <t>CARRETA</t>
  </si>
  <si>
    <t>VEÍCULO</t>
  </si>
  <si>
    <t>SOROCABA</t>
  </si>
  <si>
    <t>UBERLÂNDIA</t>
  </si>
  <si>
    <t>VALOR LIVRE DE IMPOSTOS</t>
  </si>
  <si>
    <t>LUCRO</t>
  </si>
  <si>
    <t>DATA</t>
  </si>
  <si>
    <t>RIO DE JANEIRO</t>
  </si>
  <si>
    <t>ADICIONAIS</t>
  </si>
  <si>
    <t>SJ PINHAIS</t>
  </si>
  <si>
    <t>VARGINHA</t>
  </si>
  <si>
    <t>ARAGUARI</t>
  </si>
  <si>
    <t>LONDRINA</t>
  </si>
  <si>
    <t>GURINHATÃ</t>
  </si>
  <si>
    <t>CAMPOS DO GOYTACAZES</t>
  </si>
  <si>
    <t>POÇOS DE CALDAS</t>
  </si>
  <si>
    <t>CAXIAS DO SUL</t>
  </si>
  <si>
    <t>DIVINÓPOLIS</t>
  </si>
  <si>
    <t>BLUMENAU</t>
  </si>
  <si>
    <t>JANAÚBA</t>
  </si>
  <si>
    <t>BELO HORIZONTE</t>
  </si>
  <si>
    <t>POUSO ALEGRE</t>
  </si>
  <si>
    <t>META</t>
  </si>
  <si>
    <t>VALOR FATURADO</t>
  </si>
  <si>
    <t>VALOR RESTANTE</t>
  </si>
  <si>
    <t>DIA</t>
  </si>
  <si>
    <t>FATURADO</t>
  </si>
  <si>
    <t>FORA DO PRAZO</t>
  </si>
  <si>
    <t>DENTRO DO PRAZO</t>
  </si>
  <si>
    <t>% DENTRO DO PRAZO</t>
  </si>
  <si>
    <t>% FORA DO PRAZO</t>
  </si>
  <si>
    <t>GASTOS C/ MOTORISTA</t>
  </si>
  <si>
    <t>GASTOS COM MOTORISTAS</t>
  </si>
  <si>
    <t>UBERABA</t>
  </si>
  <si>
    <t>BRASILIA</t>
  </si>
  <si>
    <t>LAVRAS</t>
  </si>
  <si>
    <t>PALHOÇA</t>
  </si>
  <si>
    <t>UNAÍ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</si>
  <si>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</si>
  <si>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</si>
  <si>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</si>
  <si>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</si>
  <si>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</si>
  <si>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</si>
  <si>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</si>
  <si>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</si>
  <si>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</si>
  <si>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</si>
  <si>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</si>
  <si>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</si>
  <si>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FATURAMENTO</t>
  </si>
  <si>
    <t>MANHUAÇU</t>
  </si>
  <si>
    <t>ARMAÇÃO DOS BUZIOS</t>
  </si>
  <si>
    <t>SÃO JOSÉ</t>
  </si>
  <si>
    <t>RIBEIRÃO DAS NEVES</t>
  </si>
  <si>
    <t>GASTO COM MOTORISTA</t>
  </si>
  <si>
    <t>TOTAIS</t>
  </si>
  <si>
    <t>ALFENAS</t>
  </si>
  <si>
    <t>ITUBIABA</t>
  </si>
  <si>
    <t>ITAJUBÁ</t>
  </si>
  <si>
    <t>PATROCÍNIO</t>
  </si>
  <si>
    <t>CURITIBA</t>
  </si>
  <si>
    <t>GUARULHOS</t>
  </si>
  <si>
    <t>CAMPO BELO</t>
  </si>
  <si>
    <t>ANGRA DOS REIS</t>
  </si>
  <si>
    <t>PATY DOS ALFERES</t>
  </si>
  <si>
    <t>CANDEIAS</t>
  </si>
  <si>
    <t>OURO PRETO</t>
  </si>
  <si>
    <t>CAJAMAR</t>
  </si>
  <si>
    <t>STATUS ENTREGA</t>
  </si>
  <si>
    <t>PRAZO POD</t>
  </si>
  <si>
    <t>DATA CHEGADA</t>
  </si>
  <si>
    <t>HORA CHEGADA</t>
  </si>
  <si>
    <t>ENVIO POD</t>
  </si>
  <si>
    <t>STATUS POD</t>
  </si>
  <si>
    <t>DATA COLETA</t>
  </si>
  <si>
    <t>RMA11435163</t>
  </si>
  <si>
    <t>SÃO PAULO</t>
  </si>
  <si>
    <t>MÊS</t>
  </si>
  <si>
    <t>GASTO COM MOTORISTAS</t>
  </si>
  <si>
    <t>LUCRO TOTAL</t>
  </si>
  <si>
    <t>POD</t>
  </si>
  <si>
    <t>QNTD</t>
  </si>
  <si>
    <t>ITAGUAÍ</t>
  </si>
  <si>
    <t>TERESÓPOLIS</t>
  </si>
  <si>
    <t>SANTA CRUZ</t>
  </si>
  <si>
    <t>GUARATIBA</t>
  </si>
  <si>
    <t xml:space="preserve">2017/000695-100 </t>
  </si>
  <si>
    <t xml:space="preserve">2020/000001-100 </t>
  </si>
  <si>
    <t>2020/000004-100</t>
  </si>
  <si>
    <t xml:space="preserve">2020/000041-100 </t>
  </si>
  <si>
    <t>2020/000059-100</t>
  </si>
  <si>
    <t xml:space="preserve">2020/000060-100 </t>
  </si>
  <si>
    <t xml:space="preserve">2020/000075-100 </t>
  </si>
  <si>
    <t xml:space="preserve">2020/000076-100 </t>
  </si>
  <si>
    <t xml:space="preserve">2020/000079-100 </t>
  </si>
  <si>
    <t xml:space="preserve">2020/000102-100 </t>
  </si>
  <si>
    <t xml:space="preserve">2020/000103-100 </t>
  </si>
  <si>
    <t xml:space="preserve">2020/000118-100 </t>
  </si>
  <si>
    <t xml:space="preserve">2020/000119-100 </t>
  </si>
  <si>
    <t xml:space="preserve">2020/000133-100 </t>
  </si>
  <si>
    <t xml:space="preserve">2020/000138-100 </t>
  </si>
  <si>
    <t xml:space="preserve">2020/000147-100 </t>
  </si>
  <si>
    <t xml:space="preserve">2020/000148-100 </t>
  </si>
  <si>
    <t xml:space="preserve">2020/000150-100 </t>
  </si>
  <si>
    <t>2020/000155-100</t>
  </si>
  <si>
    <t xml:space="preserve">2020/000185-100 </t>
  </si>
  <si>
    <t>2020/000219-100</t>
  </si>
  <si>
    <t xml:space="preserve">2020/000226-100 </t>
  </si>
  <si>
    <t xml:space="preserve">2020/000228-100 </t>
  </si>
  <si>
    <t xml:space="preserve">2020/000231-100 </t>
  </si>
  <si>
    <t xml:space="preserve">2020/000244-100 </t>
  </si>
  <si>
    <t xml:space="preserve">2020/000239-100 </t>
  </si>
  <si>
    <t xml:space="preserve">2020/000255-100 </t>
  </si>
  <si>
    <t xml:space="preserve">2020/000263-100 </t>
  </si>
  <si>
    <t xml:space="preserve">2020/000284-100 </t>
  </si>
  <si>
    <t xml:space="preserve">2020/000288-100 </t>
  </si>
  <si>
    <t xml:space="preserve">2020/000298-100 </t>
  </si>
  <si>
    <t xml:space="preserve">2020/000299-100 </t>
  </si>
  <si>
    <t>2020/000311-100</t>
  </si>
  <si>
    <t xml:space="preserve">2020/000310-100 </t>
  </si>
  <si>
    <t xml:space="preserve">2020/000320-100 </t>
  </si>
  <si>
    <t>2020/000328-100</t>
  </si>
  <si>
    <t>2020/000369-100</t>
  </si>
  <si>
    <t xml:space="preserve">2020/000376-100 </t>
  </si>
  <si>
    <t xml:space="preserve">2020/000381-100 </t>
  </si>
  <si>
    <t xml:space="preserve">2020/000382-100 </t>
  </si>
  <si>
    <t>2020/000389-100</t>
  </si>
  <si>
    <t>2020/000500-100  </t>
  </si>
  <si>
    <t xml:space="preserve">2020/000476-100 </t>
  </si>
  <si>
    <t xml:space="preserve">2020/000478-100 </t>
  </si>
  <si>
    <t xml:space="preserve">2020/000505-100 </t>
  </si>
  <si>
    <t xml:space="preserve">2020/000504-100 </t>
  </si>
  <si>
    <t xml:space="preserve">2020/000535-100 </t>
  </si>
  <si>
    <t xml:space="preserve">2020/000536-100 </t>
  </si>
  <si>
    <t>2020/000534-100</t>
  </si>
  <si>
    <t xml:space="preserve">2020/000553-100  </t>
  </si>
  <si>
    <t xml:space="preserve">2020/000552-100 </t>
  </si>
  <si>
    <t xml:space="preserve">2020/000587-100 </t>
  </si>
  <si>
    <t xml:space="preserve">2020/000588-100 </t>
  </si>
  <si>
    <t xml:space="preserve">2020/000612-100 </t>
  </si>
  <si>
    <t xml:space="preserve">2020/000644-100 </t>
  </si>
  <si>
    <t xml:space="preserve">2020/000638-100 </t>
  </si>
  <si>
    <t xml:space="preserve">2020/000655-100 </t>
  </si>
  <si>
    <t xml:space="preserve">2020/000657-100 </t>
  </si>
  <si>
    <t xml:space="preserve">2020/000666-100 </t>
  </si>
  <si>
    <t xml:space="preserve">2020/000741-100 </t>
  </si>
  <si>
    <t xml:space="preserve">2020/000678-100 </t>
  </si>
  <si>
    <t xml:space="preserve">2020/000699-100 </t>
  </si>
  <si>
    <t xml:space="preserve">2020/000692-100 </t>
  </si>
  <si>
    <t xml:space="preserve">2020/000733-100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</si>
</sst>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dd/m/yyyy\ hh:mm;@"/>
    <numFmt numFmtId="165" formatCode="&quot;R$&quot;\ #,##0.00"/>
    <numFmt numFmtId="166" formatCode="[$-F400]h:mm:ss\ AM/PM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1"/>
      <color theme="0"/>
      <name val="Calibri"/>
      <family val="2"/>
      <scheme val="minor"/>
    </font>
    <font>
      <sz val="11"/>
      <color rgb="FFFFE237"/>
      <name val="Calibri"/>
      <family val="2"/>
      <scheme val="minor"/>
    </font>
    <font>
      <b/>
      <sz val="11"/>
      <color rgb="FFFFE237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E237"/>
      <name val="Calibri (corpo)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4" fontId="4" fillId="0" borderId="1" xfId="3" applyNumberFormat="1" applyFont="1" applyBorder="1" applyAlignment="1">
      <alignment horizontal="center"/>
    </xf>
    <xf numFmtId="4" fontId="4" fillId="0" borderId="2" xfId="3" applyNumberFormat="1" applyFont="1" applyBorder="1" applyAlignment="1">
      <alignment horizontal="center"/>
    </xf>
    <xf numFmtId="4" fontId="4" fillId="0" borderId="3" xfId="3" applyNumberFormat="1" applyFont="1" applyBorder="1" applyAlignment="1">
      <alignment horizontal="center"/>
    </xf>
    <xf numFmtId="4" fontId="4" fillId="0" borderId="4" xfId="3" applyNumberFormat="1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44" fontId="0" fillId="0" borderId="0" xfId="1" applyFont="1"/>
    <xf numFmtId="14" fontId="0" fillId="0" borderId="0" xfId="0" applyNumberFormat="1"/>
    <xf numFmtId="0" fontId="8" fillId="0" borderId="0" xfId="0" applyFont="1"/>
    <xf numFmtId="0" fontId="9" fillId="0" borderId="0" xfId="0" applyFont="1"/>
    <xf numFmtId="14" fontId="10" fillId="0" borderId="0" xfId="0" applyNumberFormat="1" applyFont="1"/>
    <xf numFmtId="0" fontId="8" fillId="0" borderId="0" xfId="0" applyFont="1" applyAlignment="1">
      <alignment horizontal="right"/>
    </xf>
    <xf numFmtId="44" fontId="10" fillId="0" borderId="0" xfId="1" applyFont="1"/>
    <xf numFmtId="44" fontId="10" fillId="0" borderId="0" xfId="0" applyNumberFormat="1" applyFont="1"/>
    <xf numFmtId="9" fontId="8" fillId="0" borderId="0" xfId="2" applyFont="1"/>
    <xf numFmtId="44" fontId="8" fillId="0" borderId="0" xfId="0" applyNumberFormat="1" applyFont="1"/>
    <xf numFmtId="9" fontId="8" fillId="0" borderId="0" xfId="0" applyNumberFormat="1" applyFont="1"/>
    <xf numFmtId="0" fontId="11" fillId="0" borderId="0" xfId="0" applyFont="1"/>
    <xf numFmtId="0" fontId="12" fillId="0" borderId="0" xfId="0" applyFont="1"/>
    <xf numFmtId="9" fontId="0" fillId="0" borderId="0" xfId="2" applyFont="1"/>
    <xf numFmtId="9" fontId="0" fillId="0" borderId="0" xfId="0" applyNumberFormat="1"/>
    <xf numFmtId="0" fontId="0" fillId="0" borderId="0" xfId="2" applyNumberFormat="1" applyFont="1"/>
    <xf numFmtId="0" fontId="0" fillId="0" borderId="0" xfId="0" applyAlignment="1">
      <alignment horizontal="right"/>
    </xf>
    <xf numFmtId="4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9" fontId="0" fillId="0" borderId="0" xfId="2" applyFont="1" applyAlignment="1">
      <alignment horizontal="left"/>
    </xf>
    <xf numFmtId="44" fontId="0" fillId="0" borderId="0" xfId="2" applyNumberFormat="1" applyFont="1" applyAlignment="1">
      <alignment horizontal="left"/>
    </xf>
    <xf numFmtId="0" fontId="6" fillId="0" borderId="0" xfId="0" applyFont="1"/>
    <xf numFmtId="0" fontId="7" fillId="0" borderId="0" xfId="0" applyFont="1"/>
    <xf numFmtId="14" fontId="7" fillId="0" borderId="0" xfId="0" applyNumberFormat="1" applyFont="1"/>
    <xf numFmtId="0" fontId="5" fillId="0" borderId="0" xfId="0" applyFont="1"/>
    <xf numFmtId="0" fontId="0" fillId="2" borderId="0" xfId="0" applyFill="1"/>
    <xf numFmtId="0" fontId="13" fillId="2" borderId="0" xfId="0" applyFont="1" applyFill="1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44" fontId="0" fillId="0" borderId="0" xfId="1" applyFont="1" applyProtection="1">
      <protection locked="0"/>
    </xf>
    <xf numFmtId="14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44" fontId="8" fillId="0" borderId="0" xfId="1" applyFont="1" applyProtection="1">
      <protection locked="0"/>
    </xf>
    <xf numFmtId="22" fontId="0" fillId="0" borderId="0" xfId="0" applyNumberFormat="1" applyProtection="1">
      <protection locked="0"/>
    </xf>
    <xf numFmtId="0" fontId="0" fillId="0" borderId="0" xfId="0" quotePrefix="1" applyProtection="1">
      <protection locked="0"/>
    </xf>
    <xf numFmtId="0" fontId="0" fillId="3" borderId="0" xfId="0" applyFill="1" applyProtection="1">
      <protection hidden="1"/>
    </xf>
    <xf numFmtId="165" fontId="0" fillId="3" borderId="0" xfId="1" applyNumberFormat="1" applyFont="1" applyFill="1" applyProtection="1">
      <protection hidden="1"/>
    </xf>
    <xf numFmtId="165" fontId="0" fillId="3" borderId="0" xfId="0" applyNumberFormat="1" applyFill="1" applyProtection="1">
      <protection hidden="1"/>
    </xf>
    <xf numFmtId="14" fontId="0" fillId="3" borderId="0" xfId="0" applyNumberFormat="1" applyFill="1" applyProtection="1">
      <protection hidden="1"/>
    </xf>
    <xf numFmtId="0" fontId="15" fillId="3" borderId="6" xfId="3" applyFont="1" applyFill="1" applyBorder="1" applyAlignment="1">
      <alignment horizontal="center" vertical="center" wrapText="1"/>
    </xf>
    <xf numFmtId="0" fontId="15" fillId="3" borderId="5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49" fontId="15" fillId="3" borderId="1" xfId="3" applyNumberFormat="1" applyFont="1" applyFill="1" applyBorder="1" applyAlignment="1">
      <alignment horizontal="center" vertical="center" wrapText="1"/>
    </xf>
    <xf numFmtId="0" fontId="15" fillId="3" borderId="2" xfId="3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horizontal="center"/>
      <protection locked="0"/>
    </xf>
    <xf numFmtId="0" fontId="14" fillId="3" borderId="0" xfId="0" applyFont="1" applyFill="1" applyAlignment="1" applyProtection="1">
      <alignment horizontal="center"/>
      <protection hidden="1"/>
    </xf>
    <xf numFmtId="1" fontId="14" fillId="0" borderId="0" xfId="0" applyNumberFormat="1" applyFont="1" applyAlignment="1" applyProtection="1">
      <alignment horizontal="center"/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44" fontId="14" fillId="0" borderId="0" xfId="1" applyFont="1" applyAlignment="1" applyProtection="1">
      <alignment horizontal="center"/>
      <protection locked="0"/>
    </xf>
    <xf numFmtId="165" fontId="14" fillId="3" borderId="0" xfId="0" applyNumberFormat="1" applyFont="1" applyFill="1" applyAlignment="1" applyProtection="1">
      <alignment horizontal="center"/>
      <protection hidden="1"/>
    </xf>
    <xf numFmtId="14" fontId="14" fillId="0" borderId="0" xfId="0" applyNumberFormat="1" applyFont="1" applyAlignment="1" applyProtection="1">
      <alignment horizontal="center"/>
      <protection locked="0"/>
    </xf>
    <xf numFmtId="166" fontId="14" fillId="0" borderId="0" xfId="0" applyNumberFormat="1" applyFont="1" applyAlignment="1" applyProtection="1">
      <alignment horizontal="center"/>
      <protection locked="0"/>
    </xf>
    <xf numFmtId="0" fontId="14" fillId="3" borderId="7" xfId="0" applyFont="1" applyFill="1" applyBorder="1" applyAlignment="1" applyProtection="1">
      <alignment horizontal="center"/>
      <protection hidden="1"/>
    </xf>
  </cellXfs>
  <cellStyles count="4">
    <cellStyle name="Moeda" xfId="1" builtinId="4"/>
    <cellStyle name="Normal" xfId="0" builtinId="0"/>
    <cellStyle name="Normal 2 3" xfId="3" xr:uid="{C0DF3CD3-ED81-43C8-AC3F-E46A20934201}"/>
    <cellStyle name="Porcentagem" xfId="2" builtinId="5"/>
  </cellStyles>
  <dxfs count="5">
    <dxf>
      <fill>
        <patternFill>
          <bgColor indexed="8"/>
        </patternFill>
      </fill>
    </dxf>
    <dxf>
      <fill>
        <patternFill>
          <bgColor indexed="8"/>
        </patternFill>
      </fill>
    </dxf>
    <dxf>
      <fill>
        <patternFill>
          <bgColor indexed="8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237"/>
      <color rgb="FFFFD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rgbClr val="FFE237"/>
            </a:solidFill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2C5-47F4-8FDF-4A7597528CCE}"/>
              </c:ext>
            </c:extLst>
          </c:dPt>
          <c:dPt>
            <c:idx val="1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2C5-47F4-8FDF-4A7597528CC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C5-47F4-8FDF-4A7597528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apoio2!$J$20:$J$21</c:f>
              <c:numCache>
                <c:formatCode>0%</c:formatCode>
                <c:ptCount val="2"/>
                <c:pt idx="0">
                  <c:v>1.5666382838999997</c:v>
                </c:pt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2C5-47F4-8FDF-4A7597528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apoio2!$D$16</c:f>
              <c:strCache>
                <c:ptCount val="1"/>
                <c:pt idx="0">
                  <c:v>CARRETA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23-4FA3-8E73-1A79E2667A2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23-4FA3-8E73-1A79E2667A2E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23-4FA3-8E73-1A79E2667A2E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apoio2!$AM$16:$AO$16</c:f>
              <c:numCache>
                <c:formatCode>0%</c:formatCode>
                <c:ptCount val="3"/>
                <c:pt idx="0">
                  <c:v>0.6</c:v>
                </c:pt>
                <c:pt idx="1">
                  <c:v>0.4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23-4FA3-8E73-1A79E2667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apoio2!$D$13</c:f>
              <c:strCache>
                <c:ptCount val="1"/>
                <c:pt idx="0">
                  <c:v>3/4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C0-47C3-B87A-9FE5F402A899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C0-47C3-B87A-9FE5F402A899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C0-47C3-B87A-9FE5F402A899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apoio2!$AM$13:$AO$13</c:f>
              <c:numCache>
                <c:formatCode>0%</c:formatCode>
                <c:ptCount val="3"/>
                <c:pt idx="0">
                  <c:v>0.72222222222222221</c:v>
                </c:pt>
                <c:pt idx="1">
                  <c:v>0.27777777777777779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C0-47C3-B87A-9FE5F402A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00-46E2-8BC9-732147306E44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00-46E2-8BC9-732147306E44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0-46E2-8BC9-732147306E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apoio2!$N$20:$N$21</c:f>
              <c:strCache>
                <c:ptCount val="2"/>
                <c:pt idx="0">
                  <c:v>DENTRO DO PRAZO</c:v>
                </c:pt>
                <c:pt idx="1">
                  <c:v>FORA DO PRAZO</c:v>
                </c:pt>
              </c:strCache>
            </c:strRef>
          </c:cat>
          <c:val>
            <c:numRef>
              <c:f>apoio2!$P$20:$P$21</c:f>
              <c:numCache>
                <c:formatCode>0%</c:formatCode>
                <c:ptCount val="2"/>
                <c:pt idx="0">
                  <c:v>0.35135135135135137</c:v>
                </c:pt>
                <c:pt idx="1">
                  <c:v>0.64864864864864868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META POD</c:v>
                </c15:tx>
              </c15:filteredSeriesTitle>
            </c:ext>
            <c:ext xmlns:c16="http://schemas.microsoft.com/office/drawing/2014/chart" uri="{C3380CC4-5D6E-409C-BE32-E72D297353CC}">
              <c16:uniqueId val="{00000006-AD00-46E2-8BC9-732147306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761621299453223E-2"/>
          <c:y val="0.18518518518518517"/>
          <c:w val="0.97030937070806911"/>
          <c:h val="0.64443095654709825"/>
        </c:manualLayout>
      </c:layout>
      <c:barChart>
        <c:barDir val="col"/>
        <c:grouping val="clustered"/>
        <c:varyColors val="0"/>
        <c:ser>
          <c:idx val="1"/>
          <c:order val="1"/>
          <c:spPr>
            <a:solidFill>
              <a:srgbClr val="FFE23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E237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apoio2!$A$20:$A$50</c:f>
              <c:strCache>
                <c:ptCount val="28"/>
                <c:pt idx="0">
                  <c:v>01/02/2019</c:v>
                </c:pt>
                <c:pt idx="1">
                  <c:v>02/02/2019</c:v>
                </c:pt>
                <c:pt idx="2">
                  <c:v>03/02/2019</c:v>
                </c:pt>
                <c:pt idx="3">
                  <c:v>04/02/2019</c:v>
                </c:pt>
                <c:pt idx="4">
                  <c:v>05/02/2019</c:v>
                </c:pt>
                <c:pt idx="5">
                  <c:v>06/02/2019</c:v>
                </c:pt>
                <c:pt idx="6">
                  <c:v>07/02/2019</c:v>
                </c:pt>
                <c:pt idx="7">
                  <c:v>08/02/2019</c:v>
                </c:pt>
                <c:pt idx="8">
                  <c:v>09/02/2019</c:v>
                </c:pt>
                <c:pt idx="9">
                  <c:v>10/02/2019</c:v>
                </c:pt>
                <c:pt idx="10">
                  <c:v>11/02/2019</c:v>
                </c:pt>
                <c:pt idx="11">
                  <c:v>12/02/2019</c:v>
                </c:pt>
                <c:pt idx="12">
                  <c:v>13/02/2019</c:v>
                </c:pt>
                <c:pt idx="13">
                  <c:v>14/02/2019</c:v>
                </c:pt>
                <c:pt idx="14">
                  <c:v>15/02/2019</c:v>
                </c:pt>
                <c:pt idx="15">
                  <c:v>16/02/2019</c:v>
                </c:pt>
                <c:pt idx="16">
                  <c:v>17/02/2019</c:v>
                </c:pt>
                <c:pt idx="17">
                  <c:v>18/02/2019</c:v>
                </c:pt>
                <c:pt idx="18">
                  <c:v>19/02/2019</c:v>
                </c:pt>
                <c:pt idx="19">
                  <c:v>20/02/2019</c:v>
                </c:pt>
                <c:pt idx="20">
                  <c:v>21/02/2019</c:v>
                </c:pt>
                <c:pt idx="21">
                  <c:v>22/02/2019</c:v>
                </c:pt>
                <c:pt idx="22">
                  <c:v>23/02/2019</c:v>
                </c:pt>
                <c:pt idx="23">
                  <c:v>24/02/2019</c:v>
                </c:pt>
                <c:pt idx="24">
                  <c:v>25/02/2019</c:v>
                </c:pt>
                <c:pt idx="25">
                  <c:v>26/02/2019</c:v>
                </c:pt>
                <c:pt idx="26">
                  <c:v>27/02/2019</c:v>
                </c:pt>
                <c:pt idx="27">
                  <c:v>28/02/2019</c:v>
                </c:pt>
              </c:strCache>
            </c:strRef>
          </c:cat>
          <c:val>
            <c:numRef>
              <c:f>apoio2!$E$8:$AI$8</c:f>
              <c:numCache>
                <c:formatCode>_("R$"* #,##0.00_);_("R$"* \(#,##0.00\);_("R$"* "-"??_);_(@_)</c:formatCode>
                <c:ptCount val="31"/>
                <c:pt idx="0">
                  <c:v>1289.47</c:v>
                </c:pt>
                <c:pt idx="1">
                  <c:v>2197.17</c:v>
                </c:pt>
                <c:pt idx="2">
                  <c:v>0</c:v>
                </c:pt>
                <c:pt idx="3">
                  <c:v>2915.94</c:v>
                </c:pt>
                <c:pt idx="4">
                  <c:v>5846.2000000000007</c:v>
                </c:pt>
                <c:pt idx="5">
                  <c:v>6813.8152074999998</c:v>
                </c:pt>
                <c:pt idx="6">
                  <c:v>1217.47</c:v>
                </c:pt>
                <c:pt idx="7">
                  <c:v>3934.88</c:v>
                </c:pt>
                <c:pt idx="8">
                  <c:v>7781.0300000000007</c:v>
                </c:pt>
                <c:pt idx="9">
                  <c:v>0</c:v>
                </c:pt>
                <c:pt idx="10">
                  <c:v>2512.19</c:v>
                </c:pt>
                <c:pt idx="11">
                  <c:v>4366.2800000000007</c:v>
                </c:pt>
                <c:pt idx="12">
                  <c:v>15823.02</c:v>
                </c:pt>
                <c:pt idx="13">
                  <c:v>8397.8788400000012</c:v>
                </c:pt>
                <c:pt idx="14">
                  <c:v>6722.2261075000006</c:v>
                </c:pt>
                <c:pt idx="15">
                  <c:v>6017.8</c:v>
                </c:pt>
                <c:pt idx="16">
                  <c:v>0</c:v>
                </c:pt>
                <c:pt idx="17">
                  <c:v>5572.5125050000006</c:v>
                </c:pt>
                <c:pt idx="18">
                  <c:v>5006.9699999999993</c:v>
                </c:pt>
                <c:pt idx="19">
                  <c:v>15312.649999999998</c:v>
                </c:pt>
                <c:pt idx="20">
                  <c:v>10184.657729999999</c:v>
                </c:pt>
                <c:pt idx="21">
                  <c:v>3983.634</c:v>
                </c:pt>
                <c:pt idx="22">
                  <c:v>1642.5</c:v>
                </c:pt>
                <c:pt idx="23">
                  <c:v>0</c:v>
                </c:pt>
                <c:pt idx="24">
                  <c:v>3598.87</c:v>
                </c:pt>
                <c:pt idx="25">
                  <c:v>9345.7939999999981</c:v>
                </c:pt>
                <c:pt idx="26">
                  <c:v>5219.7199999999993</c:v>
                </c:pt>
                <c:pt idx="27">
                  <c:v>20961.149999999998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74-4686-8E71-D159315A9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2312056"/>
        <c:axId val="532312696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apoio2!$E$7:$AI$7</c:f>
              <c:strCache>
                <c:ptCount val="28"/>
                <c:pt idx="0">
                  <c:v>01/02/2019</c:v>
                </c:pt>
                <c:pt idx="1">
                  <c:v>02/02/2019</c:v>
                </c:pt>
                <c:pt idx="2">
                  <c:v>03/02/2019</c:v>
                </c:pt>
                <c:pt idx="3">
                  <c:v>04/02/2019</c:v>
                </c:pt>
                <c:pt idx="4">
                  <c:v>05/02/2019</c:v>
                </c:pt>
                <c:pt idx="5">
                  <c:v>06/02/2019</c:v>
                </c:pt>
                <c:pt idx="6">
                  <c:v>07/02/2019</c:v>
                </c:pt>
                <c:pt idx="7">
                  <c:v>08/02/2019</c:v>
                </c:pt>
                <c:pt idx="8">
                  <c:v>09/02/2019</c:v>
                </c:pt>
                <c:pt idx="9">
                  <c:v>10/02/2019</c:v>
                </c:pt>
                <c:pt idx="10">
                  <c:v>11/02/2019</c:v>
                </c:pt>
                <c:pt idx="11">
                  <c:v>12/02/2019</c:v>
                </c:pt>
                <c:pt idx="12">
                  <c:v>13/02/2019</c:v>
                </c:pt>
                <c:pt idx="13">
                  <c:v>14/02/2019</c:v>
                </c:pt>
                <c:pt idx="14">
                  <c:v>15/02/2019</c:v>
                </c:pt>
                <c:pt idx="15">
                  <c:v>16/02/2019</c:v>
                </c:pt>
                <c:pt idx="16">
                  <c:v>17/02/2019</c:v>
                </c:pt>
                <c:pt idx="17">
                  <c:v>18/02/2019</c:v>
                </c:pt>
                <c:pt idx="18">
                  <c:v>19/02/2019</c:v>
                </c:pt>
                <c:pt idx="19">
                  <c:v>20/02/2019</c:v>
                </c:pt>
                <c:pt idx="20">
                  <c:v>21/02/2019</c:v>
                </c:pt>
                <c:pt idx="21">
                  <c:v>22/02/2019</c:v>
                </c:pt>
                <c:pt idx="22">
                  <c:v>23/02/2019</c:v>
                </c:pt>
                <c:pt idx="23">
                  <c:v>24/02/2019</c:v>
                </c:pt>
                <c:pt idx="24">
                  <c:v>25/02/2019</c:v>
                </c:pt>
                <c:pt idx="25">
                  <c:v>26/02/2019</c:v>
                </c:pt>
                <c:pt idx="26">
                  <c:v>27/02/2019</c:v>
                </c:pt>
                <c:pt idx="27">
                  <c:v>28/02/2019</c:v>
                </c:pt>
              </c:strCache>
            </c:strRef>
          </c:cat>
          <c:val>
            <c:numRef>
              <c:f>apoio2!$C$20:$C$50</c:f>
              <c:numCache>
                <c:formatCode>_("R$"* #,##0.00_);_("R$"* \(#,##0.00\);_("R$"* "-"??_);_(@_)</c:formatCode>
                <c:ptCount val="31"/>
                <c:pt idx="0">
                  <c:v>5000</c:v>
                </c:pt>
                <c:pt idx="1">
                  <c:v>0</c:v>
                </c:pt>
                <c:pt idx="2">
                  <c:v>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0</c:v>
                </c:pt>
                <c:pt idx="9">
                  <c:v>0</c:v>
                </c:pt>
                <c:pt idx="10">
                  <c:v>5000</c:v>
                </c:pt>
                <c:pt idx="11">
                  <c:v>5000</c:v>
                </c:pt>
                <c:pt idx="12">
                  <c:v>5000</c:v>
                </c:pt>
                <c:pt idx="13">
                  <c:v>5000</c:v>
                </c:pt>
                <c:pt idx="14">
                  <c:v>5000</c:v>
                </c:pt>
                <c:pt idx="15">
                  <c:v>0</c:v>
                </c:pt>
                <c:pt idx="16">
                  <c:v>0</c:v>
                </c:pt>
                <c:pt idx="17">
                  <c:v>5000</c:v>
                </c:pt>
                <c:pt idx="18">
                  <c:v>5000</c:v>
                </c:pt>
                <c:pt idx="19">
                  <c:v>5000</c:v>
                </c:pt>
                <c:pt idx="20">
                  <c:v>5000</c:v>
                </c:pt>
                <c:pt idx="21">
                  <c:v>5000</c:v>
                </c:pt>
                <c:pt idx="22">
                  <c:v>0</c:v>
                </c:pt>
                <c:pt idx="23">
                  <c:v>0</c:v>
                </c:pt>
                <c:pt idx="24">
                  <c:v>5000</c:v>
                </c:pt>
                <c:pt idx="25">
                  <c:v>5000</c:v>
                </c:pt>
                <c:pt idx="26">
                  <c:v>5000</c:v>
                </c:pt>
                <c:pt idx="27">
                  <c:v>5000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74-4686-8E71-D159315A9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312056"/>
        <c:axId val="532312696"/>
      </c:lineChart>
      <c:dateAx>
        <c:axId val="53231205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E237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2312696"/>
        <c:crosses val="autoZero"/>
        <c:auto val="0"/>
        <c:lblOffset val="100"/>
        <c:baseTimeUnit val="days"/>
      </c:dateAx>
      <c:valAx>
        <c:axId val="532312696"/>
        <c:scaling>
          <c:orientation val="minMax"/>
          <c:min val="0.1"/>
        </c:scaling>
        <c:delete val="1"/>
        <c:axPos val="l"/>
        <c:numFmt formatCode="_(&quot;R$&quot;* #,##0.00_);_(&quot;R$&quot;* \(#,##0.00\);_(&quot;R$&quot;* &quot;-&quot;??_);_(@_)" sourceLinked="1"/>
        <c:majorTickMark val="out"/>
        <c:minorTickMark val="none"/>
        <c:tickLblPos val="nextTo"/>
        <c:crossAx val="53231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964880828510373E-2"/>
          <c:y val="0.12920590824536532"/>
          <c:w val="0.95386251859557258"/>
          <c:h val="0.663894865050723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apoio2!$F$19</c:f>
              <c:strCache>
                <c:ptCount val="1"/>
                <c:pt idx="0">
                  <c:v>LUCRO</c:v>
                </c:pt>
              </c:strCache>
            </c:strRef>
          </c:tx>
          <c:spPr>
            <a:solidFill>
              <a:srgbClr val="FFE23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E237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apoio2!$E$7:$AI$7</c:f>
              <c:strCache>
                <c:ptCount val="28"/>
                <c:pt idx="0">
                  <c:v>01/02/2019</c:v>
                </c:pt>
                <c:pt idx="1">
                  <c:v>02/02/2019</c:v>
                </c:pt>
                <c:pt idx="2">
                  <c:v>03/02/2019</c:v>
                </c:pt>
                <c:pt idx="3">
                  <c:v>04/02/2019</c:v>
                </c:pt>
                <c:pt idx="4">
                  <c:v>05/02/2019</c:v>
                </c:pt>
                <c:pt idx="5">
                  <c:v>06/02/2019</c:v>
                </c:pt>
                <c:pt idx="6">
                  <c:v>07/02/2019</c:v>
                </c:pt>
                <c:pt idx="7">
                  <c:v>08/02/2019</c:v>
                </c:pt>
                <c:pt idx="8">
                  <c:v>09/02/2019</c:v>
                </c:pt>
                <c:pt idx="9">
                  <c:v>10/02/2019</c:v>
                </c:pt>
                <c:pt idx="10">
                  <c:v>11/02/2019</c:v>
                </c:pt>
                <c:pt idx="11">
                  <c:v>12/02/2019</c:v>
                </c:pt>
                <c:pt idx="12">
                  <c:v>13/02/2019</c:v>
                </c:pt>
                <c:pt idx="13">
                  <c:v>14/02/2019</c:v>
                </c:pt>
                <c:pt idx="14">
                  <c:v>15/02/2019</c:v>
                </c:pt>
                <c:pt idx="15">
                  <c:v>16/02/2019</c:v>
                </c:pt>
                <c:pt idx="16">
                  <c:v>17/02/2019</c:v>
                </c:pt>
                <c:pt idx="17">
                  <c:v>18/02/2019</c:v>
                </c:pt>
                <c:pt idx="18">
                  <c:v>19/02/2019</c:v>
                </c:pt>
                <c:pt idx="19">
                  <c:v>20/02/2019</c:v>
                </c:pt>
                <c:pt idx="20">
                  <c:v>21/02/2019</c:v>
                </c:pt>
                <c:pt idx="21">
                  <c:v>22/02/2019</c:v>
                </c:pt>
                <c:pt idx="22">
                  <c:v>23/02/2019</c:v>
                </c:pt>
                <c:pt idx="23">
                  <c:v>24/02/2019</c:v>
                </c:pt>
                <c:pt idx="24">
                  <c:v>25/02/2019</c:v>
                </c:pt>
                <c:pt idx="25">
                  <c:v>26/02/2019</c:v>
                </c:pt>
                <c:pt idx="26">
                  <c:v>27/02/2019</c:v>
                </c:pt>
                <c:pt idx="27">
                  <c:v>28/02/2019</c:v>
                </c:pt>
              </c:strCache>
            </c:strRef>
          </c:cat>
          <c:val>
            <c:numRef>
              <c:f>apoio2!$E$10:$AI$10</c:f>
              <c:numCache>
                <c:formatCode>_("R$"* #,##0.00_);_("R$"* \(#,##0.00\);_("R$"* "-"??_);_(@_)</c:formatCode>
                <c:ptCount val="31"/>
                <c:pt idx="0">
                  <c:v>234.73360000000002</c:v>
                </c:pt>
                <c:pt idx="1">
                  <c:v>283.50960000000009</c:v>
                </c:pt>
                <c:pt idx="2">
                  <c:v>0</c:v>
                </c:pt>
                <c:pt idx="3">
                  <c:v>616.02719999999999</c:v>
                </c:pt>
                <c:pt idx="4">
                  <c:v>944.65600000000018</c:v>
                </c:pt>
                <c:pt idx="5">
                  <c:v>746.15738260000035</c:v>
                </c:pt>
                <c:pt idx="6">
                  <c:v>171.37360000000012</c:v>
                </c:pt>
                <c:pt idx="7">
                  <c:v>212.69440000000031</c:v>
                </c:pt>
                <c:pt idx="8">
                  <c:v>647.30640000000039</c:v>
                </c:pt>
                <c:pt idx="9">
                  <c:v>0</c:v>
                </c:pt>
                <c:pt idx="10">
                  <c:v>210.72720000000027</c:v>
                </c:pt>
                <c:pt idx="11">
                  <c:v>592.32640000000004</c:v>
                </c:pt>
                <c:pt idx="12">
                  <c:v>1974.2576000000004</c:v>
                </c:pt>
                <c:pt idx="13">
                  <c:v>1190.1333792000003</c:v>
                </c:pt>
                <c:pt idx="14">
                  <c:v>965.55897460000006</c:v>
                </c:pt>
                <c:pt idx="15">
                  <c:v>845.66400000000021</c:v>
                </c:pt>
                <c:pt idx="16">
                  <c:v>0</c:v>
                </c:pt>
                <c:pt idx="17">
                  <c:v>518.81100440000023</c:v>
                </c:pt>
                <c:pt idx="18">
                  <c:v>1196.1335999999999</c:v>
                </c:pt>
                <c:pt idx="19">
                  <c:v>1665.1319999999998</c:v>
                </c:pt>
                <c:pt idx="20">
                  <c:v>1062.4988023999992</c:v>
                </c:pt>
                <c:pt idx="21">
                  <c:v>505.59791999999993</c:v>
                </c:pt>
                <c:pt idx="22">
                  <c:v>395.40000000000009</c:v>
                </c:pt>
                <c:pt idx="23">
                  <c:v>0</c:v>
                </c:pt>
                <c:pt idx="24">
                  <c:v>287.00560000000013</c:v>
                </c:pt>
                <c:pt idx="25">
                  <c:v>1124.29872</c:v>
                </c:pt>
                <c:pt idx="26">
                  <c:v>293.35359999999991</c:v>
                </c:pt>
                <c:pt idx="27">
                  <c:v>725.81199999999967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A-4863-9FB8-E32E6D83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788336"/>
        <c:axId val="442791616"/>
      </c:barChart>
      <c:dateAx>
        <c:axId val="44278833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FFE237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2791616"/>
        <c:crosses val="autoZero"/>
        <c:auto val="0"/>
        <c:lblOffset val="100"/>
        <c:baseTimeUnit val="days"/>
      </c:dateAx>
      <c:valAx>
        <c:axId val="442791616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none"/>
        <c:minorTickMark val="none"/>
        <c:tickLblPos val="nextTo"/>
        <c:crossAx val="442788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14-40B9-B3FC-7EE919271670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14-40B9-B3FC-7EE919271670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14-40B9-B3FC-7EE9192716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apoio2!$AM$17:$AN$17</c:f>
              <c:numCache>
                <c:formatCode>0%</c:formatCode>
                <c:ptCount val="2"/>
                <c:pt idx="0">
                  <c:v>0.67567567567567566</c:v>
                </c:pt>
                <c:pt idx="1">
                  <c:v>0.32432432432432434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14-40B9-B3FC-7EE919271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E23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E237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apoio2!$D$11:$D$16</c:f>
              <c:strCache>
                <c:ptCount val="6"/>
                <c:pt idx="0">
                  <c:v>FIORINO</c:v>
                </c:pt>
                <c:pt idx="1">
                  <c:v>VAN</c:v>
                </c:pt>
                <c:pt idx="2">
                  <c:v>3/4</c:v>
                </c:pt>
                <c:pt idx="3">
                  <c:v>TOCO</c:v>
                </c:pt>
                <c:pt idx="4">
                  <c:v>TRUCK</c:v>
                </c:pt>
                <c:pt idx="5">
                  <c:v>CARRETA</c:v>
                </c:pt>
              </c:strCache>
            </c:strRef>
          </c:cat>
          <c:val>
            <c:numRef>
              <c:f>apoio2!$AJ$11:$AJ$16</c:f>
              <c:numCache>
                <c:formatCode>General</c:formatCode>
                <c:ptCount val="6"/>
                <c:pt idx="0">
                  <c:v>24</c:v>
                </c:pt>
                <c:pt idx="1">
                  <c:v>12</c:v>
                </c:pt>
                <c:pt idx="2">
                  <c:v>18</c:v>
                </c:pt>
                <c:pt idx="3">
                  <c:v>5</c:v>
                </c:pt>
                <c:pt idx="4">
                  <c:v>5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8-46CC-BE3B-905AD7709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axId val="532331896"/>
        <c:axId val="532334776"/>
      </c:barChart>
      <c:catAx>
        <c:axId val="5323318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E237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32334776"/>
        <c:crosses val="autoZero"/>
        <c:auto val="1"/>
        <c:lblAlgn val="ctr"/>
        <c:lblOffset val="100"/>
        <c:noMultiLvlLbl val="0"/>
      </c:catAx>
      <c:valAx>
        <c:axId val="532334776"/>
        <c:scaling>
          <c:orientation val="minMax"/>
          <c:min val="0.1"/>
        </c:scaling>
        <c:delete val="1"/>
        <c:axPos val="t"/>
        <c:numFmt formatCode="General" sourceLinked="1"/>
        <c:majorTickMark val="none"/>
        <c:minorTickMark val="none"/>
        <c:tickLblPos val="nextTo"/>
        <c:crossAx val="5323318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rgbClr val="FFE237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apoio2!$D$11</c:f>
              <c:strCache>
                <c:ptCount val="1"/>
                <c:pt idx="0">
                  <c:v>FIORINO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7-4252-8827-E41EAEF61F61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7-4252-8827-E41EAEF61F61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7-4252-8827-E41EAEF61F61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apoio2!$AM$11:$AO$11</c:f>
              <c:numCache>
                <c:formatCode>0%</c:formatCode>
                <c:ptCount val="3"/>
                <c:pt idx="0">
                  <c:v>0.58333333333333337</c:v>
                </c:pt>
                <c:pt idx="1">
                  <c:v>0.41666666666666669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B7-4252-8827-E41EAEF61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apoio2!$D$12</c:f>
              <c:strCache>
                <c:ptCount val="1"/>
                <c:pt idx="0">
                  <c:v>VAN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49-456C-B8D9-40D9376B8251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49-456C-B8D9-40D9376B8251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49-456C-B8D9-40D9376B8251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apoio2!$AM$12:$AO$12</c:f>
              <c:numCache>
                <c:formatCode>0%</c:formatCode>
                <c:ptCount val="3"/>
                <c:pt idx="0">
                  <c:v>0.75</c:v>
                </c:pt>
                <c:pt idx="1">
                  <c:v>0.25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49-456C-B8D9-40D9376B8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apoio2!$D$14</c:f>
              <c:strCache>
                <c:ptCount val="1"/>
                <c:pt idx="0">
                  <c:v>TOCO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AC-4612-A3DF-203590437D51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AC-4612-A3DF-203590437D51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3AC-4612-A3DF-203590437D51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apoio2!$AM$14:$AO$14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AC-4612-A3DF-203590437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apoio2!$D$15</c:f>
              <c:strCache>
                <c:ptCount val="1"/>
                <c:pt idx="0">
                  <c:v>TRUCK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E23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DC-42FA-8486-B78105104FE6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DC-42FA-8486-B78105104FE6}"/>
              </c:ext>
            </c:extLst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DC-42FA-8486-B78105104FE6}"/>
              </c:ext>
            </c:extLst>
          </c:dPt>
          <c:cat>
            <c:strRef>
              <c:f>apoio2!$AM$10:$AN$10</c:f>
              <c:strCache>
                <c:ptCount val="2"/>
                <c:pt idx="0">
                  <c:v>% DENTRO DO PRAZO</c:v>
                </c:pt>
                <c:pt idx="1">
                  <c:v>% FORA DO PRAZO</c:v>
                </c:pt>
              </c:strCache>
            </c:strRef>
          </c:cat>
          <c:val>
            <c:numRef>
              <c:f>apoio2!$AM$15:$AO$15</c:f>
              <c:numCache>
                <c:formatCode>0%</c:formatCode>
                <c:ptCount val="3"/>
                <c:pt idx="0">
                  <c:v>0.6</c:v>
                </c:pt>
                <c:pt idx="1">
                  <c:v>0.4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DC-42FA-8486-B78105104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26" fmlaLink="apoio2!$C$7" fmlaRange="apoio2!$L$19:$L$30" noThreeD="1" sel="2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426720</xdr:colOff>
      <xdr:row>0</xdr:row>
      <xdr:rowOff>0</xdr:rowOff>
    </xdr:from>
    <xdr:to>
      <xdr:col>10</xdr:col>
      <xdr:colOff>470966</xdr:colOff>
      <xdr:row>4</xdr:row>
      <xdr:rowOff>172720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865120" y="0"/>
          <a:ext cx="3701846" cy="9177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4000" b="1">
              <a:solidFill>
                <a:srgbClr val="FFE237"/>
              </a:solidFill>
            </a:rPr>
            <a:t>GESTÃO A VISTA</a:t>
          </a:r>
        </a:p>
        <a:p>
          <a:r>
            <a:rPr lang="pt-BR" sz="1100" b="1">
              <a:solidFill>
                <a:srgbClr val="FFE237"/>
              </a:solidFill>
            </a:rPr>
            <a:t>INDICADOR</a:t>
          </a:r>
          <a:r>
            <a:rPr lang="pt-BR" sz="1100" b="1" baseline="0">
              <a:solidFill>
                <a:srgbClr val="FFE237"/>
              </a:solidFill>
            </a:rPr>
            <a:t> FINANCEIRO</a:t>
          </a:r>
        </a:p>
      </xdr:txBody>
    </xdr:sp>
    <xdr:clientData/>
  </xdr:twoCellAnchor>
  <xdr:twoCellAnchor editAs="oneCell">
    <xdr:from>
      <xdr:col>0</xdr:col>
      <xdr:colOff>0</xdr:colOff>
      <xdr:row>7</xdr:row>
      <xdr:rowOff>149013</xdr:rowOff>
    </xdr:from>
    <xdr:to>
      <xdr:col>3</xdr:col>
      <xdr:colOff>396240</xdr:colOff>
      <xdr:row>23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259927</xdr:colOff>
      <xdr:row>5</xdr:row>
      <xdr:rowOff>165100</xdr:rowOff>
    </xdr:from>
    <xdr:to>
      <xdr:col>22</xdr:col>
      <xdr:colOff>281940</xdr:colOff>
      <xdr:row>24</xdr:row>
      <xdr:rowOff>170180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27</xdr:row>
      <xdr:rowOff>39793</xdr:rowOff>
    </xdr:from>
    <xdr:to>
      <xdr:col>17</xdr:col>
      <xdr:colOff>242147</xdr:colOff>
      <xdr:row>44</xdr:row>
      <xdr:rowOff>1693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51</xdr:row>
      <xdr:rowOff>54836</xdr:rowOff>
    </xdr:from>
    <xdr:to>
      <xdr:col>3</xdr:col>
      <xdr:colOff>396240</xdr:colOff>
      <xdr:row>66</xdr:row>
      <xdr:rowOff>109023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</xdr:col>
      <xdr:colOff>511387</xdr:colOff>
      <xdr:row>51</xdr:row>
      <xdr:rowOff>75353</xdr:rowOff>
    </xdr:from>
    <xdr:to>
      <xdr:col>11</xdr:col>
      <xdr:colOff>202354</xdr:colOff>
      <xdr:row>66</xdr:row>
      <xdr:rowOff>16087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479217</xdr:colOff>
      <xdr:row>54</xdr:row>
      <xdr:rowOff>5927</xdr:rowOff>
    </xdr:from>
    <xdr:to>
      <xdr:col>19</xdr:col>
      <xdr:colOff>569057</xdr:colOff>
      <xdr:row>60</xdr:row>
      <xdr:rowOff>113453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18</xdr:col>
      <xdr:colOff>189280</xdr:colOff>
      <xdr:row>56</xdr:row>
      <xdr:rowOff>69427</xdr:rowOff>
    </xdr:from>
    <xdr:ext cx="669714" cy="264560"/>
    <xdr:sp macro="" textlink="apoio2!AM11">
      <xdr:nvSpPr>
        <xdr:cNvPr id="9" name="CaixaDeTexto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1162080" y="10517294"/>
          <a:ext cx="669714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81F1C7F5-C0F5-4DFA-A644-CC7266281A61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58%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20</xdr:col>
      <xdr:colOff>401324</xdr:colOff>
      <xdr:row>54</xdr:row>
      <xdr:rowOff>5927</xdr:rowOff>
    </xdr:from>
    <xdr:to>
      <xdr:col>22</xdr:col>
      <xdr:colOff>489470</xdr:colOff>
      <xdr:row>60</xdr:row>
      <xdr:rowOff>113453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21</xdr:col>
      <xdr:colOff>126204</xdr:colOff>
      <xdr:row>56</xdr:row>
      <xdr:rowOff>61807</xdr:rowOff>
    </xdr:from>
    <xdr:ext cx="638387" cy="264560"/>
    <xdr:sp macro="" textlink="apoio2!AM12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2927804" y="10509674"/>
          <a:ext cx="638387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D861E8BF-5016-42E9-BA14-77E78A5E84A5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75%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17</xdr:col>
      <xdr:colOff>479217</xdr:colOff>
      <xdr:row>62</xdr:row>
      <xdr:rowOff>33020</xdr:rowOff>
    </xdr:from>
    <xdr:to>
      <xdr:col>19</xdr:col>
      <xdr:colOff>569057</xdr:colOff>
      <xdr:row>68</xdr:row>
      <xdr:rowOff>140547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18</xdr:col>
      <xdr:colOff>163880</xdr:colOff>
      <xdr:row>64</xdr:row>
      <xdr:rowOff>96520</xdr:rowOff>
    </xdr:from>
    <xdr:ext cx="720514" cy="264560"/>
    <xdr:sp macro="" textlink="apoio2!AM14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11136680" y="12034520"/>
          <a:ext cx="720514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73DA3B63-397D-49CE-B28C-37B875DF1D72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100%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20</xdr:col>
      <xdr:colOff>401324</xdr:colOff>
      <xdr:row>62</xdr:row>
      <xdr:rowOff>33020</xdr:rowOff>
    </xdr:from>
    <xdr:to>
      <xdr:col>22</xdr:col>
      <xdr:colOff>489470</xdr:colOff>
      <xdr:row>68</xdr:row>
      <xdr:rowOff>140547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oneCellAnchor>
    <xdr:from>
      <xdr:col>21</xdr:col>
      <xdr:colOff>41961</xdr:colOff>
      <xdr:row>64</xdr:row>
      <xdr:rowOff>96520</xdr:rowOff>
    </xdr:from>
    <xdr:ext cx="806873" cy="264560"/>
    <xdr:sp macro="" textlink="apoio2!AM15">
      <xdr:nvSpPr>
        <xdr:cNvPr id="15" name="CaixaDeTexto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12843561" y="12034520"/>
          <a:ext cx="806873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DB5782FF-BA31-4BCC-BFD7-5EBCE12AEB3A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60%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23</xdr:col>
      <xdr:colOff>247231</xdr:colOff>
      <xdr:row>62</xdr:row>
      <xdr:rowOff>40640</xdr:rowOff>
    </xdr:from>
    <xdr:to>
      <xdr:col>25</xdr:col>
      <xdr:colOff>335377</xdr:colOff>
      <xdr:row>68</xdr:row>
      <xdr:rowOff>148167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oneCellAnchor>
    <xdr:from>
      <xdr:col>23</xdr:col>
      <xdr:colOff>524984</xdr:colOff>
      <xdr:row>64</xdr:row>
      <xdr:rowOff>88900</xdr:rowOff>
    </xdr:from>
    <xdr:ext cx="751840" cy="264560"/>
    <xdr:sp macro="" textlink="apoio2!AM16">
      <xdr:nvSpPr>
        <xdr:cNvPr id="17" name="CaixaDeTexto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14545784" y="12026900"/>
          <a:ext cx="751840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BA969F9E-7310-4986-8580-82C72F6BDC6D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60%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23</xdr:col>
      <xdr:colOff>247231</xdr:colOff>
      <xdr:row>54</xdr:row>
      <xdr:rowOff>5927</xdr:rowOff>
    </xdr:from>
    <xdr:to>
      <xdr:col>25</xdr:col>
      <xdr:colOff>335377</xdr:colOff>
      <xdr:row>60</xdr:row>
      <xdr:rowOff>113453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oneCellAnchor>
    <xdr:from>
      <xdr:col>23</xdr:col>
      <xdr:colOff>559274</xdr:colOff>
      <xdr:row>56</xdr:row>
      <xdr:rowOff>69427</xdr:rowOff>
    </xdr:from>
    <xdr:ext cx="683260" cy="264560"/>
    <xdr:sp macro="" textlink="apoio2!AM13">
      <xdr:nvSpPr>
        <xdr:cNvPr id="19" name="CaixaDeTexto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14580074" y="10517294"/>
          <a:ext cx="683260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fld id="{3F7AEF8A-42D7-4E87-BDB7-AC332D4A4E83}" type="TxLink">
            <a:rPr lang="en-US" sz="1100" b="1" i="0" u="none" strike="noStrike">
              <a:solidFill>
                <a:srgbClr val="FFE237"/>
              </a:solidFill>
              <a:latin typeface="Calibri"/>
              <a:cs typeface="Calibri"/>
            </a:rPr>
            <a:pPr algn="ctr"/>
            <a:t>72%</a:t>
          </a:fld>
          <a:endParaRPr lang="pt-BR" sz="1100" b="1">
            <a:solidFill>
              <a:srgbClr val="FFE237"/>
            </a:solidFill>
          </a:endParaRPr>
        </a:p>
      </xdr:txBody>
    </xdr:sp>
    <xdr:clientData/>
  </xdr:oneCellAnchor>
  <xdr:oneCellAnchor>
    <xdr:from>
      <xdr:col>4</xdr:col>
      <xdr:colOff>435187</xdr:colOff>
      <xdr:row>43</xdr:row>
      <xdr:rowOff>177800</xdr:rowOff>
    </xdr:from>
    <xdr:ext cx="3706079" cy="890693"/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2873587" y="8204200"/>
          <a:ext cx="3706079" cy="890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4000" b="1">
              <a:solidFill>
                <a:srgbClr val="FFE237"/>
              </a:solidFill>
            </a:rPr>
            <a:t>GESTÃO A VISTA</a:t>
          </a:r>
        </a:p>
        <a:p>
          <a:r>
            <a:rPr lang="pt-BR" sz="1100" b="1">
              <a:solidFill>
                <a:srgbClr val="FFE237"/>
              </a:solidFill>
            </a:rPr>
            <a:t>INDICADOR</a:t>
          </a:r>
          <a:r>
            <a:rPr lang="pt-BR" sz="1100" b="1" baseline="0">
              <a:solidFill>
                <a:srgbClr val="FFE237"/>
              </a:solidFill>
            </a:rPr>
            <a:t> DE PERFORMANCE DE ENTREGAS</a:t>
          </a:r>
        </a:p>
      </xdr:txBody>
    </xdr:sp>
    <xdr:clientData/>
  </xdr:oneCellAnchor>
  <xdr:oneCellAnchor>
    <xdr:from>
      <xdr:col>17</xdr:col>
      <xdr:colOff>540177</xdr:colOff>
      <xdr:row>49</xdr:row>
      <xdr:rowOff>106258</xdr:rowOff>
    </xdr:from>
    <xdr:ext cx="3464025" cy="499367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10903377" y="9250258"/>
          <a:ext cx="3464025" cy="499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PERFORMANCE DE ENTREGAS POR VEÍCULO</a:t>
          </a:r>
        </a:p>
        <a:p>
          <a:r>
            <a:rPr lang="pt-BR" sz="1100" b="1" baseline="0">
              <a:solidFill>
                <a:srgbClr val="FFE237"/>
              </a:solidFill>
            </a:rPr>
            <a:t>DENTRO DO PRAZO (%)</a:t>
          </a:r>
          <a:endParaRPr lang="pt-BR" sz="1200" b="1" baseline="0">
            <a:solidFill>
              <a:srgbClr val="FFE237"/>
            </a:solidFill>
          </a:endParaRPr>
        </a:p>
      </xdr:txBody>
    </xdr:sp>
    <xdr:clientData/>
  </xdr:oneCellAnchor>
  <xdr:oneCellAnchor>
    <xdr:from>
      <xdr:col>18</xdr:col>
      <xdr:colOff>180197</xdr:colOff>
      <xdr:row>53</xdr:row>
      <xdr:rowOff>51647</xdr:rowOff>
    </xdr:from>
    <xdr:ext cx="687881" cy="264560"/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11152997" y="9940714"/>
          <a:ext cx="6878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FIORINO</a:t>
          </a:r>
        </a:p>
      </xdr:txBody>
    </xdr:sp>
    <xdr:clientData/>
  </xdr:oneCellAnchor>
  <xdr:oneCellAnchor>
    <xdr:from>
      <xdr:col>21</xdr:col>
      <xdr:colOff>222163</xdr:colOff>
      <xdr:row>53</xdr:row>
      <xdr:rowOff>51647</xdr:rowOff>
    </xdr:from>
    <xdr:ext cx="446469" cy="264560"/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13023763" y="9940714"/>
          <a:ext cx="44646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VAN</a:t>
          </a:r>
        </a:p>
      </xdr:txBody>
    </xdr:sp>
    <xdr:clientData/>
  </xdr:oneCellAnchor>
  <xdr:oneCellAnchor>
    <xdr:from>
      <xdr:col>24</xdr:col>
      <xdr:colOff>97180</xdr:colOff>
      <xdr:row>53</xdr:row>
      <xdr:rowOff>33020</xdr:rowOff>
    </xdr:from>
    <xdr:ext cx="388248" cy="264560"/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14727580" y="9922087"/>
          <a:ext cx="38824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3/4</a:t>
          </a:r>
        </a:p>
      </xdr:txBody>
    </xdr:sp>
    <xdr:clientData/>
  </xdr:oneCellAnchor>
  <xdr:oneCellAnchor>
    <xdr:from>
      <xdr:col>18</xdr:col>
      <xdr:colOff>264162</xdr:colOff>
      <xdr:row>61</xdr:row>
      <xdr:rowOff>86360</xdr:rowOff>
    </xdr:from>
    <xdr:ext cx="519951" cy="264560"/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11236962" y="11465560"/>
          <a:ext cx="51995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TOCO</a:t>
          </a:r>
        </a:p>
      </xdr:txBody>
    </xdr:sp>
    <xdr:clientData/>
  </xdr:oneCellAnchor>
  <xdr:oneCellAnchor>
    <xdr:from>
      <xdr:col>21</xdr:col>
      <xdr:colOff>156504</xdr:colOff>
      <xdr:row>61</xdr:row>
      <xdr:rowOff>86360</xdr:rowOff>
    </xdr:from>
    <xdr:ext cx="577787" cy="264560"/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12958104" y="11465560"/>
          <a:ext cx="5777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TRUCK</a:t>
          </a:r>
        </a:p>
      </xdr:txBody>
    </xdr:sp>
    <xdr:clientData/>
  </xdr:oneCellAnchor>
  <xdr:oneCellAnchor>
    <xdr:from>
      <xdr:col>23</xdr:col>
      <xdr:colOff>537023</xdr:colOff>
      <xdr:row>61</xdr:row>
      <xdr:rowOff>86360</xdr:rowOff>
    </xdr:from>
    <xdr:ext cx="727763" cy="264560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14557823" y="11465560"/>
          <a:ext cx="72776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 baseline="0">
              <a:solidFill>
                <a:srgbClr val="FFE237"/>
              </a:solidFill>
            </a:rPr>
            <a:t>CARRETA</a:t>
          </a:r>
        </a:p>
      </xdr:txBody>
    </xdr:sp>
    <xdr:clientData/>
  </xdr:oneCellAnchor>
  <xdr:oneCellAnchor>
    <xdr:from>
      <xdr:col>3</xdr:col>
      <xdr:colOff>557107</xdr:colOff>
      <xdr:row>50</xdr:row>
      <xdr:rowOff>13926</xdr:rowOff>
    </xdr:from>
    <xdr:ext cx="1767407" cy="311496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2385907" y="9344193"/>
          <a:ext cx="1767407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FRETES POR VEÍCULO</a:t>
          </a:r>
          <a:endParaRPr lang="pt-BR" sz="1200" b="1" baseline="0">
            <a:solidFill>
              <a:srgbClr val="FFE237"/>
            </a:solidFill>
          </a:endParaRPr>
        </a:p>
      </xdr:txBody>
    </xdr:sp>
    <xdr:clientData/>
  </xdr:oneCellAnchor>
  <xdr:oneCellAnchor>
    <xdr:from>
      <xdr:col>0</xdr:col>
      <xdr:colOff>160020</xdr:colOff>
      <xdr:row>49</xdr:row>
      <xdr:rowOff>106258</xdr:rowOff>
    </xdr:from>
    <xdr:ext cx="1868653" cy="530658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160020" y="9250258"/>
          <a:ext cx="1868653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PERFORMANCE GERAL</a:t>
          </a:r>
        </a:p>
        <a:p>
          <a:r>
            <a:rPr lang="pt-BR" sz="1400" b="1" baseline="0">
              <a:solidFill>
                <a:srgbClr val="FFE237"/>
              </a:solidFill>
            </a:rPr>
            <a:t>DE VEÍCULOS </a:t>
          </a:r>
          <a:r>
            <a:rPr lang="pt-BR" sz="1100" b="1" baseline="0">
              <a:solidFill>
                <a:srgbClr val="FFE237"/>
              </a:solidFill>
            </a:rPr>
            <a:t>(%)</a:t>
          </a:r>
          <a:endParaRPr lang="pt-BR" sz="1400" b="1" baseline="0">
            <a:solidFill>
              <a:srgbClr val="FFE237"/>
            </a:solidFill>
          </a:endParaRPr>
        </a:p>
      </xdr:txBody>
    </xdr:sp>
    <xdr:clientData/>
  </xdr:oneCellAnchor>
  <xdr:twoCellAnchor editAs="oneCell">
    <xdr:from>
      <xdr:col>22</xdr:col>
      <xdr:colOff>0</xdr:colOff>
      <xdr:row>32</xdr:row>
      <xdr:rowOff>40218</xdr:rowOff>
    </xdr:from>
    <xdr:to>
      <xdr:col>25</xdr:col>
      <xdr:colOff>153246</xdr:colOff>
      <xdr:row>34</xdr:row>
      <xdr:rowOff>46991</xdr:rowOff>
    </xdr:to>
    <xdr:sp macro="" textlink="apoio2!I22">
      <xdr:nvSpPr>
        <xdr:cNvPr id="30" name="CaixaDeTexto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13980160" y="5938098"/>
          <a:ext cx="1982046" cy="372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265DFDEF-4970-4B6D-B005-E874369BA5B0}" type="TxLink">
            <a:rPr lang="en-US" sz="1800" b="0" i="0" u="none" strike="noStrike">
              <a:solidFill>
                <a:srgbClr val="FFE237"/>
              </a:solidFill>
              <a:latin typeface="Calibri"/>
              <a:cs typeface="Calibri"/>
            </a:rPr>
            <a:pPr/>
            <a:t> R$ 120.455,00 </a:t>
          </a:fld>
          <a:endParaRPr lang="pt-BR" sz="4800" b="1">
            <a:solidFill>
              <a:srgbClr val="FFE237"/>
            </a:solidFill>
          </a:endParaRPr>
        </a:p>
      </xdr:txBody>
    </xdr:sp>
    <xdr:clientData/>
  </xdr:twoCellAnchor>
  <xdr:twoCellAnchor editAs="oneCell">
    <xdr:from>
      <xdr:col>18</xdr:col>
      <xdr:colOff>546100</xdr:colOff>
      <xdr:row>37</xdr:row>
      <xdr:rowOff>31328</xdr:rowOff>
    </xdr:from>
    <xdr:to>
      <xdr:col>22</xdr:col>
      <xdr:colOff>22013</xdr:colOff>
      <xdr:row>39</xdr:row>
      <xdr:rowOff>38102</xdr:rowOff>
    </xdr:to>
    <xdr:sp macro="" textlink="apoio2!I23">
      <xdr:nvSpPr>
        <xdr:cNvPr id="31" name="CaixaDeTexto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1518900" y="7026488"/>
          <a:ext cx="1914313" cy="372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56A18789-7870-438C-9887-6E3C44C8CABB}" type="TxLink">
            <a:rPr lang="en-US" sz="1800" b="0" i="0" u="none" strike="noStrike">
              <a:solidFill>
                <a:srgbClr val="FFE237"/>
              </a:solidFill>
              <a:latin typeface="Calibri"/>
              <a:cs typeface="Calibri"/>
            </a:rPr>
            <a:pPr/>
            <a:t> R$ 17.409,17 </a:t>
          </a:fld>
          <a:endParaRPr lang="pt-BR" sz="3200" b="1">
            <a:solidFill>
              <a:srgbClr val="FFE237"/>
            </a:solidFill>
          </a:endParaRPr>
        </a:p>
      </xdr:txBody>
    </xdr:sp>
    <xdr:clientData/>
  </xdr:twoCellAnchor>
  <xdr:twoCellAnchor editAs="oneCell">
    <xdr:from>
      <xdr:col>18</xdr:col>
      <xdr:colOff>546100</xdr:colOff>
      <xdr:row>32</xdr:row>
      <xdr:rowOff>40218</xdr:rowOff>
    </xdr:from>
    <xdr:to>
      <xdr:col>21</xdr:col>
      <xdr:colOff>373380</xdr:colOff>
      <xdr:row>34</xdr:row>
      <xdr:rowOff>46991</xdr:rowOff>
    </xdr:to>
    <xdr:sp macro="" textlink="apoio2!I20">
      <xdr:nvSpPr>
        <xdr:cNvPr id="32" name="CaixaDeTexto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1518900" y="6006678"/>
          <a:ext cx="1656080" cy="372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795A053-A762-44EF-A10B-6950CF35AB50}" type="TxLink">
            <a:rPr lang="en-US" sz="1800" b="0" i="0" u="none" strike="noStrike">
              <a:solidFill>
                <a:srgbClr val="FFE237"/>
              </a:solidFill>
              <a:latin typeface="Calibri"/>
              <a:cs typeface="Calibri"/>
            </a:rPr>
            <a:pPr/>
            <a:t> R$ 156.663,83 </a:t>
          </a:fld>
          <a:endParaRPr lang="pt-BR" sz="3200" b="1">
            <a:solidFill>
              <a:srgbClr val="FFE237"/>
            </a:solidFill>
          </a:endParaRPr>
        </a:p>
      </xdr:txBody>
    </xdr:sp>
    <xdr:clientData/>
  </xdr:twoCellAnchor>
  <xdr:oneCellAnchor>
    <xdr:from>
      <xdr:col>0</xdr:col>
      <xdr:colOff>35562</xdr:colOff>
      <xdr:row>8</xdr:row>
      <xdr:rowOff>126999</xdr:rowOff>
    </xdr:from>
    <xdr:ext cx="2209195" cy="311496"/>
    <xdr:sp macro="" textlink="">
      <xdr:nvSpPr>
        <xdr:cNvPr id="33" name="CaixaDeTexto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35562" y="1617132"/>
          <a:ext cx="2209195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% FATURAMENTO MENSAL</a:t>
          </a:r>
        </a:p>
      </xdr:txBody>
    </xdr:sp>
    <xdr:clientData/>
  </xdr:oneCellAnchor>
  <xdr:oneCellAnchor>
    <xdr:from>
      <xdr:col>3</xdr:col>
      <xdr:colOff>560494</xdr:colOff>
      <xdr:row>5</xdr:row>
      <xdr:rowOff>93134</xdr:rowOff>
    </xdr:from>
    <xdr:ext cx="2178225" cy="311496"/>
    <xdr:sp macro="" textlink="">
      <xdr:nvSpPr>
        <xdr:cNvPr id="34" name="CaixaDeTexto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2389294" y="1007534"/>
          <a:ext cx="2178225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R$ FATURAMENTO DIÁRIO</a:t>
          </a:r>
        </a:p>
      </xdr:txBody>
    </xdr:sp>
    <xdr:clientData/>
  </xdr:oneCellAnchor>
  <xdr:oneCellAnchor>
    <xdr:from>
      <xdr:col>1</xdr:col>
      <xdr:colOff>510540</xdr:colOff>
      <xdr:row>25</xdr:row>
      <xdr:rowOff>135467</xdr:rowOff>
    </xdr:from>
    <xdr:ext cx="1508683" cy="311496"/>
    <xdr:sp macro="" textlink="">
      <xdr:nvSpPr>
        <xdr:cNvPr id="35" name="CaixaDeTexto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/>
      </xdr:nvSpPr>
      <xdr:spPr>
        <a:xfrm>
          <a:off x="1120140" y="4707467"/>
          <a:ext cx="1508683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R$ LUCRO DIÁRIO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6</xdr:row>
          <xdr:rowOff>60960</xdr:rowOff>
        </xdr:from>
        <xdr:to>
          <xdr:col>2</xdr:col>
          <xdr:colOff>297180</xdr:colOff>
          <xdr:row>7</xdr:row>
          <xdr:rowOff>114300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50788</xdr:colOff>
      <xdr:row>51</xdr:row>
      <xdr:rowOff>56729</xdr:rowOff>
    </xdr:from>
    <xdr:to>
      <xdr:col>15</xdr:col>
      <xdr:colOff>446788</xdr:colOff>
      <xdr:row>66</xdr:row>
      <xdr:rowOff>107129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12</xdr:col>
      <xdr:colOff>232100</xdr:colOff>
      <xdr:row>49</xdr:row>
      <xdr:rowOff>90612</xdr:rowOff>
    </xdr:from>
    <xdr:ext cx="1862176" cy="530658"/>
    <xdr:sp macro="" textlink="">
      <xdr:nvSpPr>
        <xdr:cNvPr id="39" name="CaixaDeTexto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7547300" y="9234612"/>
          <a:ext cx="1862176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400" b="1" baseline="0">
              <a:solidFill>
                <a:srgbClr val="FFE237"/>
              </a:solidFill>
            </a:rPr>
            <a:t>PERFORMANCE ENVIO</a:t>
          </a:r>
        </a:p>
        <a:p>
          <a:r>
            <a:rPr lang="pt-BR" sz="1400" b="1" baseline="0">
              <a:solidFill>
                <a:srgbClr val="FFE237"/>
              </a:solidFill>
            </a:rPr>
            <a:t>POD </a:t>
          </a:r>
          <a:r>
            <a:rPr lang="pt-BR" sz="1100" b="1" baseline="0">
              <a:solidFill>
                <a:srgbClr val="FFE237"/>
              </a:solidFill>
            </a:rPr>
            <a:t>(%)</a:t>
          </a:r>
          <a:endParaRPr lang="pt-BR" sz="1400" b="1" baseline="0">
            <a:solidFill>
              <a:srgbClr val="FFE237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304800</xdr:colOff>
      <xdr:row>2</xdr:row>
      <xdr:rowOff>118322</xdr:rowOff>
    </xdr:to>
    <xdr:sp macro="" textlink="">
      <xdr:nvSpPr>
        <xdr:cNvPr id="2" name="AutoShape 1" descr="Resultado de imagem para le postiche log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758440"/>
          <a:ext cx="304800" cy="301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304800</xdr:colOff>
      <xdr:row>2</xdr:row>
      <xdr:rowOff>118322</xdr:rowOff>
    </xdr:to>
    <xdr:sp macro="" textlink="">
      <xdr:nvSpPr>
        <xdr:cNvPr id="3" name="AutoShape 2" descr="Resultado de imagem para le postiche log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758440"/>
          <a:ext cx="304800" cy="301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4" name="AutoShape 1" descr="Resultado de imagem para le postiche log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7584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5" name="AutoShape 2" descr="Resultado de imagem para le postiche 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7584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BC34F-862F-4939-93E2-430FFE70732E}">
  <dimension ref="A1:S137"/>
  <sheetViews>
    <sheetView tabSelected="1" workbookViewId="0">
      <pane ySplit="1" topLeftCell="A2" activePane="bottomLeft" state="frozen"/>
      <selection pane="bottomLeft"/>
    </sheetView>
  </sheetViews>
  <sheetFormatPr defaultRowHeight="14.4"/>
  <cols>
    <col min="1" max="1" width="12.33203125" style="33" bestFit="1" customWidth="1"/>
    <col min="2" max="2" width="4.5546875" style="46" bestFit="1" customWidth="1"/>
    <col min="3" max="3" width="16.44140625" style="34" bestFit="1" customWidth="1"/>
    <col min="4" max="4" width="5" style="33" customWidth="1"/>
    <col min="5" max="5" width="8.5546875" style="35" customWidth="1"/>
    <col min="6" max="6" width="10.109375" style="33" customWidth="1"/>
    <col min="7" max="7" width="22.5546875" style="33" customWidth="1"/>
    <col min="8" max="8" width="12.109375" style="36" bestFit="1" customWidth="1"/>
    <col min="9" max="9" width="12" style="48" bestFit="1" customWidth="1"/>
    <col min="10" max="10" width="23.77734375" style="48" customWidth="1"/>
    <col min="11" max="11" width="13.109375" style="36" bestFit="1" customWidth="1"/>
    <col min="12" max="12" width="10.5546875" style="48" bestFit="1" customWidth="1"/>
    <col min="13" max="13" width="20.6640625" style="33" bestFit="1" customWidth="1"/>
    <col min="14" max="14" width="14" style="37" bestFit="1" customWidth="1"/>
    <col min="15" max="15" width="14.33203125" style="38" bestFit="1" customWidth="1"/>
    <col min="16" max="16" width="17" style="46" bestFit="1" customWidth="1"/>
    <col min="17" max="17" width="10.5546875" style="46" bestFit="1" customWidth="1"/>
    <col min="18" max="18" width="10.5546875" style="37" bestFit="1" customWidth="1"/>
    <col min="19" max="19" width="17" style="46" bestFit="1" customWidth="1"/>
    <col min="20" max="16384" width="8.88671875" style="33"/>
  </cols>
  <sheetData>
    <row r="1" spans="1:19" s="55" customFormat="1">
      <c r="A1" s="55" t="s">
        <v>90</v>
      </c>
      <c r="B1" s="56" t="s">
        <v>93</v>
      </c>
      <c r="C1" s="57" t="s">
        <v>3</v>
      </c>
      <c r="D1" s="55" t="s">
        <v>4</v>
      </c>
      <c r="E1" s="58" t="s">
        <v>16</v>
      </c>
      <c r="F1" s="55" t="s">
        <v>5</v>
      </c>
      <c r="G1" s="55" t="s">
        <v>6</v>
      </c>
      <c r="H1" s="59" t="s">
        <v>23</v>
      </c>
      <c r="I1" s="60" t="s">
        <v>0</v>
      </c>
      <c r="J1" s="60" t="s">
        <v>19</v>
      </c>
      <c r="K1" s="59" t="s">
        <v>1</v>
      </c>
      <c r="L1" s="60" t="s">
        <v>20</v>
      </c>
      <c r="M1" s="55" t="s">
        <v>2</v>
      </c>
      <c r="N1" s="61" t="s">
        <v>86</v>
      </c>
      <c r="O1" s="62" t="s">
        <v>87</v>
      </c>
      <c r="P1" s="56" t="s">
        <v>84</v>
      </c>
      <c r="Q1" s="56" t="s">
        <v>85</v>
      </c>
      <c r="R1" s="61" t="s">
        <v>88</v>
      </c>
      <c r="S1" s="63" t="s">
        <v>89</v>
      </c>
    </row>
    <row r="2" spans="1:19">
      <c r="A2" s="37">
        <v>43467</v>
      </c>
      <c r="B2" s="46">
        <f t="shared" ref="B2:B65" si="0">MONTH(A2)</f>
        <v>1</v>
      </c>
      <c r="C2" s="34">
        <v>2017122900103</v>
      </c>
      <c r="D2" s="33">
        <v>581</v>
      </c>
      <c r="E2" s="35" t="s">
        <v>8</v>
      </c>
      <c r="F2" s="33" t="s">
        <v>17</v>
      </c>
      <c r="G2" s="33" t="s">
        <v>18</v>
      </c>
      <c r="I2" s="47">
        <f>IFERROR(INDEX(TBL_Frete!$A$1:$J$58,MATCH(IF($D2="","",VLOOKUP(D2,TBL_Frete!A:B,2,1)),TBL_Frete!B:B,0),MATCH(BD!E2,TBL_Frete!$A$1:$J$1,0)),"")+H2</f>
        <v>1303.184</v>
      </c>
      <c r="J2" s="47">
        <f>(I2-(I2*12%))</f>
        <v>1146.8019199999999</v>
      </c>
      <c r="K2" s="36">
        <v>950</v>
      </c>
      <c r="L2" s="47">
        <f>J2-K2</f>
        <v>196.80191999999988</v>
      </c>
      <c r="M2" s="39">
        <v>43468.416666666664</v>
      </c>
      <c r="N2" s="37">
        <v>43468</v>
      </c>
      <c r="O2" s="38">
        <v>0.35069444444444442</v>
      </c>
      <c r="P2" s="46" t="str">
        <f>IF(AND(M2&lt;&gt;"",SUM(N2,O2)=""),"EM ROTA",IF(M2="","",IF(SUM(N2,O2)&gt;M2,"FORA DO PRAZO","DENTRO DO PRAZO")))</f>
        <v>DENTRO DO PRAZO</v>
      </c>
      <c r="Q2" s="49">
        <f>IF(WEEKDAY(N2+2,1)=7,N2+4,IF(WEEKDAY(N2+2)=1,N2+3,N2+2))</f>
        <v>43472</v>
      </c>
      <c r="R2" s="37">
        <v>43468</v>
      </c>
      <c r="S2" s="49" t="str">
        <f>IF(R2&gt;SUM(N2,O2),"FORA DO PRAZO","DENTRO DO PRAZO")</f>
        <v>DENTRO DO PRAZO</v>
      </c>
    </row>
    <row r="3" spans="1:19">
      <c r="A3" s="37">
        <v>43467</v>
      </c>
      <c r="B3" s="46">
        <f t="shared" si="0"/>
        <v>1</v>
      </c>
      <c r="C3" s="34" t="s">
        <v>103</v>
      </c>
      <c r="D3" s="33">
        <v>566</v>
      </c>
      <c r="E3" s="35" t="s">
        <v>8</v>
      </c>
      <c r="F3" s="33" t="s">
        <v>17</v>
      </c>
      <c r="G3" s="33" t="s">
        <v>22</v>
      </c>
      <c r="H3" s="36">
        <v>72</v>
      </c>
      <c r="I3" s="47">
        <f>IFERROR(INDEX(TBL_Frete!$A$1:$J$58,MATCH(IF($D3="","",VLOOKUP(D3,TBL_Frete!A:B,2,1)),TBL_Frete!B:B,0),MATCH(BD!E3,TBL_Frete!$A$1:$J$1,0)),"")+H3</f>
        <v>1375.184</v>
      </c>
      <c r="J3" s="47">
        <f t="shared" ref="J3:J66" si="1">(I3-(I3*12%))</f>
        <v>1210.16192</v>
      </c>
      <c r="K3" s="36">
        <v>1000</v>
      </c>
      <c r="L3" s="47">
        <f t="shared" ref="L3:L66" si="2">J3-K3</f>
        <v>210.16192000000001</v>
      </c>
      <c r="M3" s="39">
        <v>43468.333333333336</v>
      </c>
      <c r="N3" s="37">
        <v>43468</v>
      </c>
      <c r="O3" s="38">
        <v>0.33333333333333331</v>
      </c>
      <c r="P3" s="46" t="str">
        <f t="shared" ref="P3:P66" si="3">IF(AND(M3&lt;&gt;"",SUM(N3,O3)=""),"EM ROTA",IF(M3="","",IF(SUM(N3,O3)&gt;M3,"FORA DO PRAZO","DENTRO DO PRAZO")))</f>
        <v>DENTRO DO PRAZO</v>
      </c>
      <c r="Q3" s="49">
        <f t="shared" ref="Q3:Q66" si="4">IF(WEEKDAY(N3+2,1)=7,N3+4,IF(WEEKDAY(N3+2)=1,N3+3,N3+2))</f>
        <v>43472</v>
      </c>
      <c r="R3" s="37">
        <v>43469</v>
      </c>
      <c r="S3" s="49" t="str">
        <f t="shared" ref="S3:S66" si="5">IF(R3&gt;SUM(N3,O3),"FORA DO PRAZO","DENTRO DO PRAZO")</f>
        <v>FORA DO PRAZO</v>
      </c>
    </row>
    <row r="4" spans="1:19">
      <c r="A4" s="37">
        <v>43468</v>
      </c>
      <c r="B4" s="46">
        <f t="shared" si="0"/>
        <v>1</v>
      </c>
      <c r="C4" s="34" t="s">
        <v>104</v>
      </c>
      <c r="D4" s="33">
        <v>383</v>
      </c>
      <c r="E4" s="35" t="s">
        <v>8</v>
      </c>
      <c r="F4" s="33" t="s">
        <v>17</v>
      </c>
      <c r="G4" s="33" t="s">
        <v>24</v>
      </c>
      <c r="I4" s="47">
        <f>IFERROR(INDEX(TBL_Frete!$A$1:$J$58,MATCH(IF($D4="","",VLOOKUP(D4,TBL_Frete!A:B,2,1)),TBL_Frete!B:B,0),MATCH(BD!E4,TBL_Frete!$A$1:$J$1,0)),"")+H4</f>
        <v>1039.26</v>
      </c>
      <c r="J4" s="47">
        <f t="shared" si="1"/>
        <v>914.54880000000003</v>
      </c>
      <c r="K4" s="36">
        <v>700</v>
      </c>
      <c r="L4" s="47">
        <f t="shared" si="2"/>
        <v>214.54880000000003</v>
      </c>
      <c r="M4" s="39">
        <v>43469.375</v>
      </c>
      <c r="N4" s="37">
        <v>43469</v>
      </c>
      <c r="O4" s="38">
        <v>0.3888888888888889</v>
      </c>
      <c r="P4" s="46" t="str">
        <f t="shared" si="3"/>
        <v>FORA DO PRAZO</v>
      </c>
      <c r="Q4" s="49">
        <f t="shared" si="4"/>
        <v>43472</v>
      </c>
      <c r="R4" s="37">
        <v>43476</v>
      </c>
      <c r="S4" s="49" t="str">
        <f t="shared" si="5"/>
        <v>FORA DO PRAZO</v>
      </c>
    </row>
    <row r="5" spans="1:19">
      <c r="A5" s="37">
        <v>43469</v>
      </c>
      <c r="B5" s="46">
        <f t="shared" si="0"/>
        <v>1</v>
      </c>
      <c r="C5" s="34" t="s">
        <v>102</v>
      </c>
      <c r="D5" s="33">
        <v>567</v>
      </c>
      <c r="E5" s="35" t="s">
        <v>8</v>
      </c>
      <c r="F5" s="33" t="s">
        <v>17</v>
      </c>
      <c r="G5" s="33" t="s">
        <v>22</v>
      </c>
      <c r="H5" s="36">
        <v>72</v>
      </c>
      <c r="I5" s="47">
        <f>IFERROR(INDEX(TBL_Frete!$A$1:$J$58,MATCH(IF($D5="","",VLOOKUP(D5,TBL_Frete!A:B,2,1)),TBL_Frete!B:B,0),MATCH(BD!E5,TBL_Frete!$A$1:$J$1,0)),"")+H5</f>
        <v>1375.184</v>
      </c>
      <c r="J5" s="47">
        <f t="shared" si="1"/>
        <v>1210.16192</v>
      </c>
      <c r="K5" s="36">
        <v>1000</v>
      </c>
      <c r="L5" s="47">
        <f t="shared" si="2"/>
        <v>210.16192000000001</v>
      </c>
      <c r="M5" s="39">
        <v>43472.375</v>
      </c>
      <c r="N5" s="37">
        <v>43472</v>
      </c>
      <c r="O5" s="38">
        <v>0.33333333333333331</v>
      </c>
      <c r="P5" s="46" t="str">
        <f t="shared" si="3"/>
        <v>DENTRO DO PRAZO</v>
      </c>
      <c r="Q5" s="49">
        <f t="shared" si="4"/>
        <v>43474</v>
      </c>
      <c r="R5" s="37">
        <v>43473</v>
      </c>
      <c r="S5" s="49" t="str">
        <f t="shared" si="5"/>
        <v>FORA DO PRAZO</v>
      </c>
    </row>
    <row r="6" spans="1:19">
      <c r="A6" s="37">
        <v>43470</v>
      </c>
      <c r="B6" s="46">
        <f t="shared" si="0"/>
        <v>1</v>
      </c>
      <c r="C6" s="34">
        <v>2020010410003</v>
      </c>
      <c r="D6" s="33">
        <v>389</v>
      </c>
      <c r="E6" s="35" t="s">
        <v>12</v>
      </c>
      <c r="F6" s="33" t="s">
        <v>17</v>
      </c>
      <c r="G6" s="33" t="s">
        <v>25</v>
      </c>
      <c r="H6" s="36">
        <v>400</v>
      </c>
      <c r="I6" s="47">
        <f>IFERROR(INDEX(TBL_Frete!$A$1:$J$58,MATCH(IF($D6="","",VLOOKUP(D6,TBL_Frete!A:B,2,1)),TBL_Frete!B:B,0),MATCH(BD!E6,TBL_Frete!$A$1:$J$1,0)),"")+H6</f>
        <v>1976.98</v>
      </c>
      <c r="J6" s="47">
        <f t="shared" si="1"/>
        <v>1739.7424000000001</v>
      </c>
      <c r="K6" s="36">
        <v>1600</v>
      </c>
      <c r="L6" s="47">
        <f t="shared" si="2"/>
        <v>139.74240000000009</v>
      </c>
      <c r="M6" s="39">
        <v>43472.416666666664</v>
      </c>
      <c r="N6" s="37">
        <v>43472</v>
      </c>
      <c r="O6" s="38">
        <v>0.38194444444444442</v>
      </c>
      <c r="P6" s="46" t="str">
        <f t="shared" si="3"/>
        <v>DENTRO DO PRAZO</v>
      </c>
      <c r="Q6" s="49">
        <f t="shared" si="4"/>
        <v>43474</v>
      </c>
      <c r="R6" s="37">
        <v>43473</v>
      </c>
      <c r="S6" s="49" t="str">
        <f t="shared" si="5"/>
        <v>FORA DO PRAZO</v>
      </c>
    </row>
    <row r="7" spans="1:19">
      <c r="A7" s="37">
        <v>43472</v>
      </c>
      <c r="B7" s="46">
        <f t="shared" si="0"/>
        <v>1</v>
      </c>
      <c r="C7" s="34">
        <v>2020010409199</v>
      </c>
      <c r="D7" s="33">
        <v>576</v>
      </c>
      <c r="E7" s="35" t="s">
        <v>12</v>
      </c>
      <c r="F7" s="33" t="s">
        <v>17</v>
      </c>
      <c r="G7" s="33" t="s">
        <v>18</v>
      </c>
      <c r="H7" s="36">
        <v>72</v>
      </c>
      <c r="I7" s="47">
        <f>IFERROR(INDEX(TBL_Frete!$A$1:$J$58,MATCH(IF($D7="","",VLOOKUP(D7,TBL_Frete!A:B,2,1)),TBL_Frete!B:B,0),MATCH(BD!E7,TBL_Frete!$A$1:$J$1,0)),"")+H7</f>
        <v>2063.4</v>
      </c>
      <c r="J7" s="47">
        <f t="shared" si="1"/>
        <v>1815.7920000000001</v>
      </c>
      <c r="K7" s="36">
        <v>1550</v>
      </c>
      <c r="L7" s="47">
        <f t="shared" si="2"/>
        <v>265.79200000000014</v>
      </c>
      <c r="M7" s="39">
        <v>43473.416666666664</v>
      </c>
      <c r="N7" s="37">
        <v>43473</v>
      </c>
      <c r="O7" s="38">
        <v>0.375</v>
      </c>
      <c r="P7" s="46" t="str">
        <f t="shared" si="3"/>
        <v>DENTRO DO PRAZO</v>
      </c>
      <c r="Q7" s="49">
        <f t="shared" si="4"/>
        <v>43475</v>
      </c>
      <c r="R7" s="37">
        <v>43475</v>
      </c>
      <c r="S7" s="49" t="str">
        <f t="shared" si="5"/>
        <v>FORA DO PRAZO</v>
      </c>
    </row>
    <row r="8" spans="1:19">
      <c r="A8" s="37">
        <v>43472</v>
      </c>
      <c r="B8" s="46">
        <f t="shared" si="0"/>
        <v>1</v>
      </c>
      <c r="C8" s="34">
        <v>2020010500087</v>
      </c>
      <c r="D8" s="33">
        <v>607</v>
      </c>
      <c r="E8" s="35" t="s">
        <v>13</v>
      </c>
      <c r="F8" s="33" t="s">
        <v>17</v>
      </c>
      <c r="G8" s="33" t="s">
        <v>26</v>
      </c>
      <c r="H8" s="36">
        <v>634</v>
      </c>
      <c r="I8" s="47">
        <f>IFERROR(INDEX(TBL_Frete!$A$1:$J$58,MATCH(IF($D8="","",VLOOKUP(D8,TBL_Frete!A:B,2,1)),TBL_Frete!B:B,0),MATCH(BD!E8,TBL_Frete!$A$1:$J$1,0)),"")+H8</f>
        <v>3329.3</v>
      </c>
      <c r="J8" s="47">
        <f t="shared" si="1"/>
        <v>2929.7840000000001</v>
      </c>
      <c r="K8" s="36">
        <v>2600</v>
      </c>
      <c r="L8" s="47">
        <f t="shared" si="2"/>
        <v>329.78400000000011</v>
      </c>
      <c r="M8" s="39">
        <v>43473.583333333336</v>
      </c>
      <c r="N8" s="37">
        <v>43473</v>
      </c>
      <c r="O8" s="38">
        <v>0.69444444444444453</v>
      </c>
      <c r="P8" s="46" t="str">
        <f t="shared" si="3"/>
        <v>FORA DO PRAZO</v>
      </c>
      <c r="Q8" s="49">
        <f t="shared" si="4"/>
        <v>43475</v>
      </c>
      <c r="R8" s="37">
        <v>43475</v>
      </c>
      <c r="S8" s="49" t="str">
        <f t="shared" si="5"/>
        <v>FORA DO PRAZO</v>
      </c>
    </row>
    <row r="9" spans="1:19">
      <c r="A9" s="37">
        <v>43472</v>
      </c>
      <c r="B9" s="46">
        <f t="shared" si="0"/>
        <v>1</v>
      </c>
      <c r="C9" s="34">
        <v>2020010500400</v>
      </c>
      <c r="D9" s="33">
        <v>634</v>
      </c>
      <c r="E9" s="35" t="s">
        <v>10</v>
      </c>
      <c r="F9" s="33" t="s">
        <v>17</v>
      </c>
      <c r="G9" s="33" t="s">
        <v>22</v>
      </c>
      <c r="H9" s="36">
        <v>692</v>
      </c>
      <c r="I9" s="47">
        <f>IFERROR(INDEX(TBL_Frete!$A$1:$J$58,MATCH(IF($D9="","",VLOOKUP(D9,TBL_Frete!A:B,2,1)),TBL_Frete!B:B,0),MATCH(BD!E9,TBL_Frete!$A$1:$J$1,0)),"")+H9</f>
        <v>2227.8000000000002</v>
      </c>
      <c r="J9" s="47">
        <f t="shared" si="1"/>
        <v>1960.4640000000002</v>
      </c>
      <c r="K9" s="36">
        <v>1550</v>
      </c>
      <c r="L9" s="47">
        <f t="shared" si="2"/>
        <v>410.46400000000017</v>
      </c>
      <c r="M9" s="39">
        <v>43473.333333333336</v>
      </c>
      <c r="N9" s="37">
        <v>43473</v>
      </c>
      <c r="O9" s="38">
        <v>0.375</v>
      </c>
      <c r="P9" s="46" t="str">
        <f t="shared" si="3"/>
        <v>FORA DO PRAZO</v>
      </c>
      <c r="Q9" s="49">
        <f t="shared" si="4"/>
        <v>43475</v>
      </c>
      <c r="R9" s="37">
        <v>43475</v>
      </c>
      <c r="S9" s="49" t="str">
        <f t="shared" si="5"/>
        <v>FORA DO PRAZO</v>
      </c>
    </row>
    <row r="10" spans="1:19">
      <c r="A10" s="37">
        <v>43472</v>
      </c>
      <c r="B10" s="46">
        <f t="shared" si="0"/>
        <v>1</v>
      </c>
      <c r="C10" s="34">
        <v>2020010700086</v>
      </c>
      <c r="D10" s="33">
        <v>581</v>
      </c>
      <c r="E10" s="35" t="s">
        <v>15</v>
      </c>
      <c r="F10" s="33" t="s">
        <v>17</v>
      </c>
      <c r="G10" s="33" t="s">
        <v>18</v>
      </c>
      <c r="I10" s="47">
        <f>IFERROR(INDEX(TBL_Frete!$A$1:$J$58,MATCH(IF($D10="","",VLOOKUP(D10,TBL_Frete!A:B,2,1)),TBL_Frete!B:B,0),MATCH(BD!E10,TBL_Frete!$A$1:$J$1,0)),"")+H10</f>
        <v>3525.5</v>
      </c>
      <c r="J10" s="47">
        <f t="shared" si="1"/>
        <v>3102.44</v>
      </c>
      <c r="K10" s="36">
        <v>3050</v>
      </c>
      <c r="L10" s="47">
        <f t="shared" si="2"/>
        <v>52.440000000000055</v>
      </c>
      <c r="M10" s="39">
        <v>43473.416666666664</v>
      </c>
      <c r="N10" s="37">
        <v>43473</v>
      </c>
      <c r="O10" s="38">
        <v>0.375</v>
      </c>
      <c r="P10" s="46" t="str">
        <f t="shared" si="3"/>
        <v>DENTRO DO PRAZO</v>
      </c>
      <c r="Q10" s="49">
        <f t="shared" si="4"/>
        <v>43475</v>
      </c>
      <c r="R10" s="37">
        <v>43474</v>
      </c>
      <c r="S10" s="49" t="str">
        <f t="shared" si="5"/>
        <v>FORA DO PRAZO</v>
      </c>
    </row>
    <row r="11" spans="1:19">
      <c r="A11" s="37">
        <v>43472</v>
      </c>
      <c r="B11" s="46">
        <f t="shared" si="0"/>
        <v>1</v>
      </c>
      <c r="C11" s="34" t="s">
        <v>105</v>
      </c>
      <c r="D11" s="33">
        <v>557</v>
      </c>
      <c r="E11" s="35" t="s">
        <v>8</v>
      </c>
      <c r="F11" s="33" t="s">
        <v>17</v>
      </c>
      <c r="G11" s="33" t="s">
        <v>22</v>
      </c>
      <c r="H11" s="36">
        <v>72</v>
      </c>
      <c r="I11" s="47">
        <f>IFERROR(INDEX(TBL_Frete!$A$1:$J$58,MATCH(IF($D11="","",VLOOKUP(D11,TBL_Frete!A:B,2,1)),TBL_Frete!B:B,0),MATCH(BD!E11,TBL_Frete!$A$1:$J$1,0)),"")+H11</f>
        <v>1375.184</v>
      </c>
      <c r="J11" s="47">
        <f t="shared" si="1"/>
        <v>1210.16192</v>
      </c>
      <c r="K11" s="36">
        <v>1000</v>
      </c>
      <c r="L11" s="47">
        <f t="shared" si="2"/>
        <v>210.16192000000001</v>
      </c>
      <c r="M11" s="39">
        <v>43473.333333333336</v>
      </c>
      <c r="N11" s="37">
        <v>43473</v>
      </c>
      <c r="O11" s="38">
        <v>0.45833333333333331</v>
      </c>
      <c r="P11" s="46" t="str">
        <f t="shared" si="3"/>
        <v>FORA DO PRAZO</v>
      </c>
      <c r="Q11" s="49">
        <f t="shared" si="4"/>
        <v>43475</v>
      </c>
      <c r="R11" s="37">
        <v>43474</v>
      </c>
      <c r="S11" s="49" t="str">
        <f t="shared" si="5"/>
        <v>FORA DO PRAZO</v>
      </c>
    </row>
    <row r="12" spans="1:19">
      <c r="A12" s="37">
        <v>43473</v>
      </c>
      <c r="B12" s="46">
        <f t="shared" si="0"/>
        <v>1</v>
      </c>
      <c r="C12" s="34" t="s">
        <v>106</v>
      </c>
      <c r="D12" s="33">
        <v>544</v>
      </c>
      <c r="E12" s="35" t="s">
        <v>8</v>
      </c>
      <c r="F12" s="33" t="s">
        <v>17</v>
      </c>
      <c r="G12" s="33" t="s">
        <v>22</v>
      </c>
      <c r="I12" s="47">
        <f>IFERROR(INDEX(TBL_Frete!$A$1:$J$58,MATCH(IF($D12="","",VLOOKUP(D12,TBL_Frete!A:B,2,1)),TBL_Frete!B:B,0),MATCH(BD!E12,TBL_Frete!$A$1:$J$1,0)),"")+H12</f>
        <v>1217.47</v>
      </c>
      <c r="J12" s="47">
        <f t="shared" si="1"/>
        <v>1071.3736000000001</v>
      </c>
      <c r="K12" s="36">
        <v>900</v>
      </c>
      <c r="L12" s="47">
        <f t="shared" si="2"/>
        <v>171.37360000000012</v>
      </c>
      <c r="M12" s="39">
        <v>43474.333333333336</v>
      </c>
      <c r="N12" s="37">
        <v>43474</v>
      </c>
      <c r="O12" s="38">
        <v>0.33333333333333331</v>
      </c>
      <c r="P12" s="46" t="str">
        <f t="shared" si="3"/>
        <v>DENTRO DO PRAZO</v>
      </c>
      <c r="Q12" s="49">
        <f t="shared" si="4"/>
        <v>43476</v>
      </c>
      <c r="R12" s="37">
        <v>43475</v>
      </c>
      <c r="S12" s="49" t="str">
        <f t="shared" si="5"/>
        <v>FORA DO PRAZO</v>
      </c>
    </row>
    <row r="13" spans="1:19">
      <c r="A13" s="37">
        <v>43473</v>
      </c>
      <c r="B13" s="46">
        <f t="shared" si="0"/>
        <v>1</v>
      </c>
      <c r="C13" s="34" t="s">
        <v>107</v>
      </c>
      <c r="D13" s="33">
        <v>471</v>
      </c>
      <c r="E13" s="35" t="s">
        <v>8</v>
      </c>
      <c r="F13" s="33" t="s">
        <v>17</v>
      </c>
      <c r="G13" s="33" t="s">
        <v>27</v>
      </c>
      <c r="I13" s="47">
        <f>IFERROR(INDEX(TBL_Frete!$A$1:$J$58,MATCH(IF($D13="","",VLOOKUP(D13,TBL_Frete!A:B,2,1)),TBL_Frete!B:B,0),MATCH(BD!E13,TBL_Frete!$A$1:$J$1,0)),"")+H13</f>
        <v>1103.21</v>
      </c>
      <c r="J13" s="47">
        <f t="shared" si="1"/>
        <v>970.8248000000001</v>
      </c>
      <c r="K13" s="36">
        <v>800</v>
      </c>
      <c r="L13" s="47">
        <f t="shared" si="2"/>
        <v>170.8248000000001</v>
      </c>
      <c r="M13" s="39">
        <v>43474.333333333336</v>
      </c>
      <c r="N13" s="37">
        <v>43474</v>
      </c>
      <c r="O13" s="38">
        <v>0.33333333333333331</v>
      </c>
      <c r="P13" s="46" t="str">
        <f t="shared" si="3"/>
        <v>DENTRO DO PRAZO</v>
      </c>
      <c r="Q13" s="49">
        <f t="shared" si="4"/>
        <v>43476</v>
      </c>
      <c r="R13" s="37">
        <v>43475</v>
      </c>
      <c r="S13" s="49" t="str">
        <f t="shared" si="5"/>
        <v>FORA DO PRAZO</v>
      </c>
    </row>
    <row r="14" spans="1:19">
      <c r="A14" s="37">
        <v>43474</v>
      </c>
      <c r="B14" s="46">
        <f t="shared" si="0"/>
        <v>1</v>
      </c>
      <c r="C14" s="34">
        <v>2020010909241</v>
      </c>
      <c r="D14" s="33">
        <v>852</v>
      </c>
      <c r="E14" s="35" t="s">
        <v>12</v>
      </c>
      <c r="F14" s="33" t="s">
        <v>17</v>
      </c>
      <c r="G14" s="33" t="s">
        <v>28</v>
      </c>
      <c r="H14" s="36">
        <v>1104</v>
      </c>
      <c r="I14" s="47">
        <f>IFERROR(INDEX(TBL_Frete!$A$1:$J$58,MATCH(IF($D14="","",VLOOKUP(D14,TBL_Frete!A:B,2,1)),TBL_Frete!B:B,0),MATCH(BD!E14,TBL_Frete!$A$1:$J$1,0)),"")+H14</f>
        <v>4129.67</v>
      </c>
      <c r="J14" s="47">
        <f t="shared" si="1"/>
        <v>3634.1096000000002</v>
      </c>
      <c r="K14" s="36">
        <v>2990</v>
      </c>
      <c r="L14" s="47">
        <f t="shared" si="2"/>
        <v>644.10960000000023</v>
      </c>
      <c r="M14" s="39">
        <v>43475.583333333336</v>
      </c>
      <c r="N14" s="37">
        <v>43475</v>
      </c>
      <c r="O14" s="38">
        <v>0.4375</v>
      </c>
      <c r="P14" s="46" t="str">
        <f t="shared" si="3"/>
        <v>DENTRO DO PRAZO</v>
      </c>
      <c r="Q14" s="49">
        <f t="shared" si="4"/>
        <v>43479</v>
      </c>
      <c r="R14" s="37">
        <v>43479</v>
      </c>
      <c r="S14" s="49" t="str">
        <f t="shared" si="5"/>
        <v>FORA DO PRAZO</v>
      </c>
    </row>
    <row r="15" spans="1:19">
      <c r="A15" s="37">
        <v>43474</v>
      </c>
      <c r="B15" s="46">
        <f t="shared" si="0"/>
        <v>1</v>
      </c>
      <c r="C15" s="34" t="s">
        <v>108</v>
      </c>
      <c r="D15" s="33">
        <v>524</v>
      </c>
      <c r="E15" s="35" t="s">
        <v>8</v>
      </c>
      <c r="F15" s="33" t="s">
        <v>17</v>
      </c>
      <c r="G15" s="33" t="s">
        <v>22</v>
      </c>
      <c r="I15" s="47">
        <f>IFERROR(INDEX(TBL_Frete!$A$1:$J$58,MATCH(IF($D15="","",VLOOKUP(D15,TBL_Frete!A:B,2,1)),TBL_Frete!B:B,0),MATCH(BD!E15,TBL_Frete!$A$1:$J$1,0)),"")+H15</f>
        <v>1217.47</v>
      </c>
      <c r="J15" s="47">
        <f t="shared" si="1"/>
        <v>1071.3736000000001</v>
      </c>
      <c r="K15" s="36">
        <v>900</v>
      </c>
      <c r="L15" s="47">
        <f t="shared" si="2"/>
        <v>171.37360000000012</v>
      </c>
      <c r="M15" s="39">
        <v>43475.333333333336</v>
      </c>
      <c r="N15" s="37">
        <v>43475</v>
      </c>
      <c r="O15" s="38">
        <v>0.33333333333333331</v>
      </c>
      <c r="P15" s="46" t="str">
        <f t="shared" si="3"/>
        <v>DENTRO DO PRAZO</v>
      </c>
      <c r="Q15" s="49">
        <f t="shared" si="4"/>
        <v>43479</v>
      </c>
      <c r="R15" s="37">
        <v>43475</v>
      </c>
      <c r="S15" s="49" t="str">
        <f t="shared" si="5"/>
        <v>DENTRO DO PRAZO</v>
      </c>
    </row>
    <row r="16" spans="1:19">
      <c r="A16" s="37">
        <v>43474</v>
      </c>
      <c r="B16" s="46">
        <f t="shared" si="0"/>
        <v>1</v>
      </c>
      <c r="C16" s="34" t="s">
        <v>109</v>
      </c>
      <c r="D16" s="33">
        <v>471</v>
      </c>
      <c r="E16" s="33" t="s">
        <v>8</v>
      </c>
      <c r="F16" s="33" t="s">
        <v>17</v>
      </c>
      <c r="G16" s="33" t="s">
        <v>27</v>
      </c>
      <c r="I16" s="47">
        <f>IFERROR(INDEX(TBL_Frete!$A$1:$J$58,MATCH(IF($D16="","",VLOOKUP(D16,TBL_Frete!A:B,2,1)),TBL_Frete!B:B,0),MATCH(BD!E16,TBL_Frete!$A$1:$J$1,0)),"")+H16</f>
        <v>1103.21</v>
      </c>
      <c r="J16" s="47">
        <f t="shared" si="1"/>
        <v>970.8248000000001</v>
      </c>
      <c r="K16" s="36">
        <v>800</v>
      </c>
      <c r="L16" s="47">
        <f t="shared" si="2"/>
        <v>170.8248000000001</v>
      </c>
      <c r="M16" s="39">
        <v>43475.333333333336</v>
      </c>
      <c r="N16" s="37">
        <v>43475</v>
      </c>
      <c r="O16" s="38">
        <v>0.25</v>
      </c>
      <c r="P16" s="46" t="str">
        <f t="shared" si="3"/>
        <v>DENTRO DO PRAZO</v>
      </c>
      <c r="Q16" s="49">
        <f t="shared" si="4"/>
        <v>43479</v>
      </c>
      <c r="R16" s="37">
        <v>43475</v>
      </c>
      <c r="S16" s="49" t="str">
        <f t="shared" si="5"/>
        <v>DENTRO DO PRAZO</v>
      </c>
    </row>
    <row r="17" spans="1:19">
      <c r="A17" s="37">
        <v>43475</v>
      </c>
      <c r="B17" s="46">
        <f t="shared" si="0"/>
        <v>1</v>
      </c>
      <c r="C17" s="40" t="s">
        <v>110</v>
      </c>
      <c r="D17" s="41">
        <v>879</v>
      </c>
      <c r="E17" s="42" t="s">
        <v>10</v>
      </c>
      <c r="F17" s="41" t="s">
        <v>17</v>
      </c>
      <c r="G17" s="41" t="s">
        <v>29</v>
      </c>
      <c r="H17" s="43">
        <v>300</v>
      </c>
      <c r="I17" s="47">
        <f>IFERROR(INDEX(TBL_Frete!$A$1:$J$58,MATCH(IF($D17="","",VLOOKUP(D17,TBL_Frete!A:B,2,1)),TBL_Frete!B:B,0),MATCH(BD!E17,TBL_Frete!$A$1:$J$1,0)),"")+H17</f>
        <v>2550.79</v>
      </c>
      <c r="J17" s="47">
        <f t="shared" si="1"/>
        <v>2244.6952000000001</v>
      </c>
      <c r="K17" s="36">
        <v>1950</v>
      </c>
      <c r="L17" s="47">
        <f t="shared" si="2"/>
        <v>294.69520000000011</v>
      </c>
      <c r="M17" s="39">
        <v>43476.333333333336</v>
      </c>
      <c r="N17" s="37">
        <v>43476</v>
      </c>
      <c r="O17" s="38">
        <v>0.95833333333333337</v>
      </c>
      <c r="P17" s="46" t="str">
        <f t="shared" si="3"/>
        <v>FORA DO PRAZO</v>
      </c>
      <c r="Q17" s="49">
        <f t="shared" si="4"/>
        <v>43479</v>
      </c>
      <c r="R17" s="37">
        <v>43479</v>
      </c>
      <c r="S17" s="49" t="str">
        <f t="shared" si="5"/>
        <v>FORA DO PRAZO</v>
      </c>
    </row>
    <row r="18" spans="1:19">
      <c r="A18" s="37">
        <v>43476</v>
      </c>
      <c r="B18" s="46">
        <f t="shared" si="0"/>
        <v>1</v>
      </c>
      <c r="C18" s="34">
        <v>2020011100130</v>
      </c>
      <c r="D18" s="33">
        <v>580</v>
      </c>
      <c r="E18" s="35" t="s">
        <v>10</v>
      </c>
      <c r="F18" s="33" t="s">
        <v>17</v>
      </c>
      <c r="G18" s="33" t="s">
        <v>18</v>
      </c>
      <c r="I18" s="47">
        <f>IFERROR(INDEX(TBL_Frete!$A$1:$J$58,MATCH(IF($D18="","",VLOOKUP(D18,TBL_Frete!A:B,2,1)),TBL_Frete!B:B,0),MATCH(BD!E18,TBL_Frete!$A$1:$J$1,0)),"")+H18</f>
        <v>1355.4</v>
      </c>
      <c r="J18" s="47">
        <f t="shared" si="1"/>
        <v>1192.7520000000002</v>
      </c>
      <c r="K18" s="36">
        <v>1050</v>
      </c>
      <c r="L18" s="47">
        <f t="shared" si="2"/>
        <v>142.75200000000018</v>
      </c>
      <c r="M18" s="39">
        <v>43479.416666666664</v>
      </c>
      <c r="N18" s="37">
        <v>43479</v>
      </c>
      <c r="O18" s="38">
        <v>0.3888888888888889</v>
      </c>
      <c r="P18" s="46" t="str">
        <f t="shared" si="3"/>
        <v>DENTRO DO PRAZO</v>
      </c>
      <c r="Q18" s="49">
        <f t="shared" si="4"/>
        <v>43481</v>
      </c>
      <c r="R18" s="37">
        <v>43479</v>
      </c>
      <c r="S18" s="49" t="str">
        <f t="shared" si="5"/>
        <v>DENTRO DO PRAZO</v>
      </c>
    </row>
    <row r="19" spans="1:19">
      <c r="A19" s="37">
        <v>43476</v>
      </c>
      <c r="B19" s="46">
        <f t="shared" si="0"/>
        <v>1</v>
      </c>
      <c r="C19" s="34">
        <v>2020011100160</v>
      </c>
      <c r="D19" s="33">
        <v>256</v>
      </c>
      <c r="E19" s="35" t="s">
        <v>12</v>
      </c>
      <c r="F19" s="33" t="s">
        <v>17</v>
      </c>
      <c r="G19" s="33" t="s">
        <v>30</v>
      </c>
      <c r="I19" s="47">
        <f>IFERROR(INDEX(TBL_Frete!$A$1:$J$58,MATCH(IF($D19="","",VLOOKUP(D19,TBL_Frete!A:B,2,1)),TBL_Frete!B:B,0),MATCH(BD!E19,TBL_Frete!$A$1:$J$1,0)),"")+H19</f>
        <v>1462.98</v>
      </c>
      <c r="J19" s="47">
        <f t="shared" si="1"/>
        <v>1287.4223999999999</v>
      </c>
      <c r="K19" s="36">
        <v>950</v>
      </c>
      <c r="L19" s="47">
        <f t="shared" si="2"/>
        <v>337.42239999999993</v>
      </c>
      <c r="M19" s="39">
        <v>43479.458333333336</v>
      </c>
      <c r="N19" s="37">
        <v>43478</v>
      </c>
      <c r="O19" s="38">
        <v>0.54166666666666663</v>
      </c>
      <c r="P19" s="46" t="str">
        <f t="shared" si="3"/>
        <v>DENTRO DO PRAZO</v>
      </c>
      <c r="Q19" s="49">
        <f t="shared" si="4"/>
        <v>43480</v>
      </c>
      <c r="R19" s="37">
        <v>43480</v>
      </c>
      <c r="S19" s="49" t="str">
        <f t="shared" si="5"/>
        <v>FORA DO PRAZO</v>
      </c>
    </row>
    <row r="20" spans="1:19">
      <c r="A20" s="37">
        <v>43476</v>
      </c>
      <c r="B20" s="46">
        <f t="shared" si="0"/>
        <v>1</v>
      </c>
      <c r="C20" s="34" t="s">
        <v>111</v>
      </c>
      <c r="D20" s="33">
        <v>956</v>
      </c>
      <c r="E20" s="35" t="s">
        <v>8</v>
      </c>
      <c r="F20" s="33" t="s">
        <v>17</v>
      </c>
      <c r="G20" s="33" t="s">
        <v>31</v>
      </c>
      <c r="I20" s="47">
        <f>IFERROR(INDEX(TBL_Frete!$A$1:$J$58,MATCH(IF($D20="","",VLOOKUP(D20,TBL_Frete!A:B,2,1)),TBL_Frete!B:B,0),MATCH(BD!E20,TBL_Frete!$A$1:$J$1,0)),"")+H20</f>
        <v>2637.63</v>
      </c>
      <c r="J20" s="47">
        <f t="shared" si="1"/>
        <v>2321.1143999999999</v>
      </c>
      <c r="K20" s="36">
        <v>1650</v>
      </c>
      <c r="L20" s="47">
        <f t="shared" si="2"/>
        <v>671.11439999999993</v>
      </c>
      <c r="M20" s="39">
        <v>43479.333333333336</v>
      </c>
      <c r="N20" s="37">
        <v>43479</v>
      </c>
      <c r="O20" s="38">
        <v>0.375</v>
      </c>
      <c r="P20" s="46" t="str">
        <f t="shared" si="3"/>
        <v>FORA DO PRAZO</v>
      </c>
      <c r="Q20" s="49">
        <f t="shared" si="4"/>
        <v>43481</v>
      </c>
      <c r="R20" s="37">
        <v>43479</v>
      </c>
      <c r="S20" s="49" t="str">
        <f t="shared" si="5"/>
        <v>DENTRO DO PRAZO</v>
      </c>
    </row>
    <row r="21" spans="1:19">
      <c r="A21" s="37">
        <v>43476</v>
      </c>
      <c r="B21" s="46">
        <f t="shared" si="0"/>
        <v>1</v>
      </c>
      <c r="C21" s="34" t="s">
        <v>112</v>
      </c>
      <c r="D21" s="33">
        <v>540</v>
      </c>
      <c r="E21" s="35" t="s">
        <v>8</v>
      </c>
      <c r="F21" s="33" t="s">
        <v>17</v>
      </c>
      <c r="G21" s="33" t="s">
        <v>22</v>
      </c>
      <c r="H21" s="36">
        <v>72</v>
      </c>
      <c r="I21" s="47">
        <f>IFERROR(INDEX(TBL_Frete!$A$1:$J$58,MATCH(IF($D21="","",VLOOKUP(D21,TBL_Frete!A:B,2,1)),TBL_Frete!B:B,0),MATCH(BD!E21,TBL_Frete!$A$1:$J$1,0)),"")+H21</f>
        <v>1289.47</v>
      </c>
      <c r="J21" s="47">
        <f t="shared" si="1"/>
        <v>1134.7336</v>
      </c>
      <c r="K21" s="36">
        <v>1000</v>
      </c>
      <c r="L21" s="47">
        <f t="shared" si="2"/>
        <v>134.73360000000002</v>
      </c>
      <c r="M21" s="39">
        <v>43479.333333333336</v>
      </c>
      <c r="N21" s="37">
        <v>43479</v>
      </c>
      <c r="O21" s="38">
        <v>0.46527777777777773</v>
      </c>
      <c r="P21" s="46" t="str">
        <f t="shared" si="3"/>
        <v>FORA DO PRAZO</v>
      </c>
      <c r="Q21" s="49">
        <f t="shared" si="4"/>
        <v>43481</v>
      </c>
      <c r="R21" s="37">
        <v>43480</v>
      </c>
      <c r="S21" s="49" t="str">
        <f t="shared" si="5"/>
        <v>FORA DO PRAZO</v>
      </c>
    </row>
    <row r="22" spans="1:19">
      <c r="A22" s="37">
        <v>43479</v>
      </c>
      <c r="B22" s="46">
        <f t="shared" si="0"/>
        <v>1</v>
      </c>
      <c r="C22" s="34" t="s">
        <v>113</v>
      </c>
      <c r="D22" s="33">
        <v>456</v>
      </c>
      <c r="E22" s="35" t="s">
        <v>8</v>
      </c>
      <c r="F22" s="33" t="s">
        <v>17</v>
      </c>
      <c r="G22" s="33" t="s">
        <v>27</v>
      </c>
      <c r="I22" s="47">
        <f>IFERROR(INDEX(TBL_Frete!$A$1:$J$58,MATCH(IF($D22="","",VLOOKUP(D22,TBL_Frete!A:B,2,1)),TBL_Frete!B:B,0),MATCH(BD!E22,TBL_Frete!$A$1:$J$1,0)),"")+H22</f>
        <v>1103.21</v>
      </c>
      <c r="J22" s="47">
        <f t="shared" si="1"/>
        <v>970.8248000000001</v>
      </c>
      <c r="K22" s="36">
        <v>750</v>
      </c>
      <c r="L22" s="47">
        <f t="shared" si="2"/>
        <v>220.8248000000001</v>
      </c>
      <c r="M22" s="39">
        <v>43480.416666666664</v>
      </c>
      <c r="N22" s="37">
        <v>43480</v>
      </c>
      <c r="O22" s="38">
        <v>0.33333333333333331</v>
      </c>
      <c r="P22" s="46" t="str">
        <f t="shared" si="3"/>
        <v>DENTRO DO PRAZO</v>
      </c>
      <c r="Q22" s="49">
        <f t="shared" si="4"/>
        <v>43482</v>
      </c>
      <c r="R22" s="37">
        <v>43480</v>
      </c>
      <c r="S22" s="49" t="str">
        <f t="shared" si="5"/>
        <v>DENTRO DO PRAZO</v>
      </c>
    </row>
    <row r="23" spans="1:19">
      <c r="A23" s="37">
        <v>43479</v>
      </c>
      <c r="B23" s="46">
        <f t="shared" si="0"/>
        <v>1</v>
      </c>
      <c r="C23" s="34" t="s">
        <v>114</v>
      </c>
      <c r="D23" s="33">
        <v>652</v>
      </c>
      <c r="E23" s="35" t="s">
        <v>8</v>
      </c>
      <c r="F23" s="33" t="s">
        <v>17</v>
      </c>
      <c r="G23" s="33" t="s">
        <v>22</v>
      </c>
      <c r="H23" s="36">
        <v>72</v>
      </c>
      <c r="I23" s="47">
        <f>IFERROR(INDEX(TBL_Frete!$A$1:$J$58,MATCH(IF($D23="","",VLOOKUP(D23,TBL_Frete!A:B,2,1)),TBL_Frete!B:B,0),MATCH(BD!E23,TBL_Frete!$A$1:$J$1,0)),"")+H23</f>
        <v>1550.8</v>
      </c>
      <c r="J23" s="47">
        <f t="shared" si="1"/>
        <v>1364.704</v>
      </c>
      <c r="K23" s="36">
        <v>1150</v>
      </c>
      <c r="L23" s="47">
        <f t="shared" si="2"/>
        <v>214.70399999999995</v>
      </c>
      <c r="M23" s="39">
        <v>43480.375</v>
      </c>
      <c r="N23" s="37">
        <v>43480</v>
      </c>
      <c r="O23" s="38">
        <v>0.375</v>
      </c>
      <c r="P23" s="46" t="str">
        <f t="shared" si="3"/>
        <v>DENTRO DO PRAZO</v>
      </c>
      <c r="Q23" s="49">
        <f t="shared" si="4"/>
        <v>43482</v>
      </c>
      <c r="R23" s="37">
        <v>43481</v>
      </c>
      <c r="S23" s="49" t="str">
        <f t="shared" si="5"/>
        <v>FORA DO PRAZO</v>
      </c>
    </row>
    <row r="24" spans="1:19">
      <c r="A24" s="37">
        <v>43480</v>
      </c>
      <c r="B24" s="46">
        <f t="shared" si="0"/>
        <v>1</v>
      </c>
      <c r="C24" s="34">
        <v>2020011408604</v>
      </c>
      <c r="D24" s="33">
        <v>605</v>
      </c>
      <c r="E24" s="35" t="s">
        <v>12</v>
      </c>
      <c r="F24" s="33" t="s">
        <v>17</v>
      </c>
      <c r="G24" s="33" t="s">
        <v>32</v>
      </c>
      <c r="I24" s="47">
        <f>IFERROR(INDEX(TBL_Frete!$A$1:$J$58,MATCH(IF($D24="","",VLOOKUP(D24,TBL_Frete!A:B,2,1)),TBL_Frete!B:B,0),MATCH(BD!E24,TBL_Frete!$A$1:$J$1,0)),"")+H24</f>
        <v>2150.4</v>
      </c>
      <c r="J24" s="47">
        <f t="shared" si="1"/>
        <v>1892.3520000000001</v>
      </c>
      <c r="K24" s="36">
        <v>1650</v>
      </c>
      <c r="L24" s="47">
        <f t="shared" si="2"/>
        <v>242.35200000000009</v>
      </c>
      <c r="M24" s="39">
        <v>43481.458333333336</v>
      </c>
      <c r="N24" s="37">
        <v>43481</v>
      </c>
      <c r="O24" s="38">
        <v>0.55555555555555558</v>
      </c>
      <c r="P24" s="46" t="str">
        <f t="shared" si="3"/>
        <v>FORA DO PRAZO</v>
      </c>
      <c r="Q24" s="49">
        <f t="shared" si="4"/>
        <v>43483</v>
      </c>
      <c r="R24" s="37">
        <v>43482</v>
      </c>
      <c r="S24" s="49" t="str">
        <f t="shared" si="5"/>
        <v>FORA DO PRAZO</v>
      </c>
    </row>
    <row r="25" spans="1:19">
      <c r="A25" s="37">
        <v>43480</v>
      </c>
      <c r="B25" s="46">
        <f t="shared" si="0"/>
        <v>1</v>
      </c>
      <c r="C25" s="34">
        <v>2020011408604</v>
      </c>
      <c r="D25" s="33">
        <v>605</v>
      </c>
      <c r="E25" s="35" t="s">
        <v>12</v>
      </c>
      <c r="F25" s="33" t="s">
        <v>17</v>
      </c>
      <c r="G25" s="33" t="s">
        <v>32</v>
      </c>
      <c r="H25" s="36">
        <v>190</v>
      </c>
      <c r="I25" s="47">
        <f>IFERROR(INDEX(TBL_Frete!$A$1:$J$58,MATCH(IF($D25="","",VLOOKUP(D25,TBL_Frete!A:B,2,1)),TBL_Frete!B:B,0),MATCH(BD!E25,TBL_Frete!$A$1:$J$1,0)),"")+H25</f>
        <v>2340.4</v>
      </c>
      <c r="J25" s="47">
        <f t="shared" si="1"/>
        <v>2059.5520000000001</v>
      </c>
      <c r="K25" s="36">
        <v>1810</v>
      </c>
      <c r="L25" s="47">
        <f t="shared" si="2"/>
        <v>249.55200000000013</v>
      </c>
      <c r="M25" s="39">
        <v>43481.416666666664</v>
      </c>
      <c r="N25" s="37">
        <v>43481</v>
      </c>
      <c r="O25" s="38">
        <v>0.43055555555555558</v>
      </c>
      <c r="P25" s="46" t="str">
        <f t="shared" si="3"/>
        <v>FORA DO PRAZO</v>
      </c>
      <c r="Q25" s="49">
        <f t="shared" si="4"/>
        <v>43483</v>
      </c>
      <c r="R25" s="37">
        <v>43482</v>
      </c>
      <c r="S25" s="49" t="str">
        <f t="shared" si="5"/>
        <v>FORA DO PRAZO</v>
      </c>
    </row>
    <row r="26" spans="1:19">
      <c r="A26" s="37">
        <v>43480</v>
      </c>
      <c r="B26" s="46">
        <f t="shared" si="0"/>
        <v>1</v>
      </c>
      <c r="C26" s="34" t="s">
        <v>115</v>
      </c>
      <c r="D26" s="33">
        <v>456</v>
      </c>
      <c r="E26" s="35" t="s">
        <v>8</v>
      </c>
      <c r="F26" s="33" t="s">
        <v>17</v>
      </c>
      <c r="G26" s="33" t="s">
        <v>27</v>
      </c>
      <c r="I26" s="47">
        <f>IFERROR(INDEX(TBL_Frete!$A$1:$J$58,MATCH(IF($D26="","",VLOOKUP(D26,TBL_Frete!A:B,2,1)),TBL_Frete!B:B,0),MATCH(BD!E26,TBL_Frete!$A$1:$J$1,0)),"")+H26</f>
        <v>1103.21</v>
      </c>
      <c r="J26" s="47">
        <f t="shared" si="1"/>
        <v>970.8248000000001</v>
      </c>
      <c r="K26" s="36">
        <v>750</v>
      </c>
      <c r="L26" s="47">
        <f t="shared" si="2"/>
        <v>220.8248000000001</v>
      </c>
      <c r="M26" s="39">
        <v>43481.333333333336</v>
      </c>
      <c r="N26" s="37">
        <v>43481</v>
      </c>
      <c r="O26" s="38">
        <v>0.35069444444444442</v>
      </c>
      <c r="P26" s="46" t="str">
        <f t="shared" si="3"/>
        <v>FORA DO PRAZO</v>
      </c>
      <c r="Q26" s="49">
        <f t="shared" si="4"/>
        <v>43483</v>
      </c>
      <c r="R26" s="37">
        <v>43481</v>
      </c>
      <c r="S26" s="49" t="str">
        <f t="shared" si="5"/>
        <v>DENTRO DO PRAZO</v>
      </c>
    </row>
    <row r="27" spans="1:19">
      <c r="A27" s="37">
        <v>43480</v>
      </c>
      <c r="B27" s="46">
        <f t="shared" si="0"/>
        <v>1</v>
      </c>
      <c r="C27" s="34" t="s">
        <v>116</v>
      </c>
      <c r="D27" s="33">
        <v>566</v>
      </c>
      <c r="E27" s="35" t="s">
        <v>8</v>
      </c>
      <c r="F27" s="33" t="s">
        <v>17</v>
      </c>
      <c r="G27" s="33" t="s">
        <v>22</v>
      </c>
      <c r="I27" s="47">
        <f>IFERROR(INDEX(TBL_Frete!$A$1:$J$58,MATCH(IF($D27="","",VLOOKUP(D27,TBL_Frete!A:B,2,1)),TBL_Frete!B:B,0),MATCH(BD!E27,TBL_Frete!$A$1:$J$1,0)),"")+H27</f>
        <v>1303.184</v>
      </c>
      <c r="J27" s="47">
        <f t="shared" si="1"/>
        <v>1146.8019199999999</v>
      </c>
      <c r="K27" s="36">
        <v>950</v>
      </c>
      <c r="L27" s="47">
        <f t="shared" si="2"/>
        <v>196.80191999999988</v>
      </c>
      <c r="M27" s="39">
        <v>43481.333333333336</v>
      </c>
      <c r="N27" s="37">
        <v>43481</v>
      </c>
      <c r="O27" s="38">
        <v>0.44444444444444442</v>
      </c>
      <c r="P27" s="46" t="str">
        <f t="shared" si="3"/>
        <v>FORA DO PRAZO</v>
      </c>
      <c r="Q27" s="49">
        <f t="shared" si="4"/>
        <v>43483</v>
      </c>
      <c r="R27" s="37">
        <v>43482</v>
      </c>
      <c r="S27" s="49" t="str">
        <f t="shared" si="5"/>
        <v>FORA DO PRAZO</v>
      </c>
    </row>
    <row r="28" spans="1:19">
      <c r="A28" s="37">
        <v>43481</v>
      </c>
      <c r="B28" s="46">
        <f t="shared" si="0"/>
        <v>1</v>
      </c>
      <c r="C28" s="34">
        <v>2020011510301</v>
      </c>
      <c r="D28" s="33">
        <v>580</v>
      </c>
      <c r="E28" s="35" t="s">
        <v>15</v>
      </c>
      <c r="F28" s="33" t="s">
        <v>17</v>
      </c>
      <c r="G28" s="33" t="s">
        <v>18</v>
      </c>
      <c r="I28" s="47">
        <f>IFERROR(INDEX(TBL_Frete!$A$1:$J$58,MATCH(IF($D28="","",VLOOKUP(D28,TBL_Frete!A:B,2,1)),TBL_Frete!B:B,0),MATCH(BD!E28,TBL_Frete!$A$1:$J$1,0)),"")+H28</f>
        <v>3525.5</v>
      </c>
      <c r="J28" s="47">
        <f t="shared" si="1"/>
        <v>3102.44</v>
      </c>
      <c r="K28" s="36">
        <v>2850</v>
      </c>
      <c r="L28" s="47">
        <f t="shared" si="2"/>
        <v>252.44000000000005</v>
      </c>
      <c r="M28" s="39">
        <v>43482.375</v>
      </c>
      <c r="N28" s="37">
        <v>43482</v>
      </c>
      <c r="O28" s="38">
        <v>0.39583333333333331</v>
      </c>
      <c r="P28" s="46" t="str">
        <f t="shared" si="3"/>
        <v>FORA DO PRAZO</v>
      </c>
      <c r="Q28" s="49">
        <f t="shared" si="4"/>
        <v>43486</v>
      </c>
      <c r="R28" s="37">
        <v>43482</v>
      </c>
      <c r="S28" s="49" t="str">
        <f t="shared" si="5"/>
        <v>DENTRO DO PRAZO</v>
      </c>
    </row>
    <row r="29" spans="1:19">
      <c r="A29" s="37">
        <v>43481</v>
      </c>
      <c r="B29" s="46">
        <f t="shared" si="0"/>
        <v>1</v>
      </c>
      <c r="C29" s="34" t="s">
        <v>117</v>
      </c>
      <c r="D29" s="33">
        <v>449</v>
      </c>
      <c r="E29" s="35" t="s">
        <v>8</v>
      </c>
      <c r="F29" s="33" t="s">
        <v>17</v>
      </c>
      <c r="G29" s="33" t="s">
        <v>27</v>
      </c>
      <c r="I29" s="47">
        <f>IFERROR(INDEX(TBL_Frete!$A$1:$J$58,MATCH(IF($D29="","",VLOOKUP(D29,TBL_Frete!A:B,2,1)),TBL_Frete!B:B,0),MATCH(BD!E29,TBL_Frete!$A$1:$J$1,0)),"")+H29</f>
        <v>1071.4207999999999</v>
      </c>
      <c r="J29" s="47">
        <f t="shared" si="1"/>
        <v>942.85030399999982</v>
      </c>
      <c r="K29" s="36">
        <v>800</v>
      </c>
      <c r="L29" s="47">
        <f t="shared" si="2"/>
        <v>142.85030399999982</v>
      </c>
      <c r="M29" s="39">
        <v>43482.375</v>
      </c>
      <c r="N29" s="37">
        <v>43482</v>
      </c>
      <c r="O29" s="38">
        <v>0.33333333333333331</v>
      </c>
      <c r="P29" s="46" t="str">
        <f t="shared" si="3"/>
        <v>DENTRO DO PRAZO</v>
      </c>
      <c r="Q29" s="49">
        <f t="shared" si="4"/>
        <v>43486</v>
      </c>
      <c r="R29" s="37">
        <v>43482</v>
      </c>
      <c r="S29" s="49" t="str">
        <f t="shared" si="5"/>
        <v>DENTRO DO PRAZO</v>
      </c>
    </row>
    <row r="30" spans="1:19">
      <c r="A30" s="37">
        <v>43481</v>
      </c>
      <c r="B30" s="46">
        <f t="shared" si="0"/>
        <v>1</v>
      </c>
      <c r="C30" s="34" t="s">
        <v>118</v>
      </c>
      <c r="D30" s="33">
        <v>540</v>
      </c>
      <c r="E30" s="35" t="s">
        <v>8</v>
      </c>
      <c r="F30" s="33" t="s">
        <v>17</v>
      </c>
      <c r="G30" s="33" t="s">
        <v>22</v>
      </c>
      <c r="I30" s="47">
        <f>IFERROR(INDEX(TBL_Frete!$A$1:$J$58,MATCH(IF($D30="","",VLOOKUP(D30,TBL_Frete!A:B,2,1)),TBL_Frete!B:B,0),MATCH(BD!E30,TBL_Frete!$A$1:$J$1,0)),"")+H30</f>
        <v>1217.47</v>
      </c>
      <c r="J30" s="47">
        <f t="shared" si="1"/>
        <v>1071.3736000000001</v>
      </c>
      <c r="K30" s="36">
        <v>900</v>
      </c>
      <c r="L30" s="47">
        <f t="shared" si="2"/>
        <v>171.37360000000012</v>
      </c>
      <c r="M30" s="39">
        <v>43482.333333333336</v>
      </c>
      <c r="N30" s="37">
        <v>43482</v>
      </c>
      <c r="O30" s="38">
        <v>0.65972222222222221</v>
      </c>
      <c r="P30" s="46" t="str">
        <f t="shared" si="3"/>
        <v>FORA DO PRAZO</v>
      </c>
      <c r="Q30" s="49">
        <f t="shared" si="4"/>
        <v>43486</v>
      </c>
      <c r="R30" s="37">
        <v>43483</v>
      </c>
      <c r="S30" s="49" t="str">
        <f t="shared" si="5"/>
        <v>FORA DO PRAZO</v>
      </c>
    </row>
    <row r="31" spans="1:19">
      <c r="A31" s="37">
        <v>43482</v>
      </c>
      <c r="B31" s="46">
        <f t="shared" si="0"/>
        <v>1</v>
      </c>
      <c r="C31" s="34">
        <v>2020011700077</v>
      </c>
      <c r="D31" s="33">
        <v>257</v>
      </c>
      <c r="E31" s="33" t="s">
        <v>10</v>
      </c>
      <c r="F31" s="33" t="s">
        <v>17</v>
      </c>
      <c r="G31" s="33" t="s">
        <v>30</v>
      </c>
      <c r="I31" s="47">
        <f>IFERROR(INDEX(TBL_Frete!$A$1:$J$58,MATCH(IF($D31="","",VLOOKUP(D31,TBL_Frete!A:B,2,1)),TBL_Frete!B:B,0),MATCH(BD!E31,TBL_Frete!$A$1:$J$1,0)),"")+H31</f>
        <v>1026.5999999999999</v>
      </c>
      <c r="J31" s="47">
        <f t="shared" si="1"/>
        <v>903.4079999999999</v>
      </c>
      <c r="K31" s="36">
        <v>700</v>
      </c>
      <c r="L31" s="47">
        <f t="shared" si="2"/>
        <v>203.4079999999999</v>
      </c>
      <c r="M31" s="39">
        <v>43483.416666666664</v>
      </c>
      <c r="N31" s="37">
        <v>43483</v>
      </c>
      <c r="O31" s="38">
        <v>0.39583333333333331</v>
      </c>
      <c r="P31" s="46" t="str">
        <f t="shared" si="3"/>
        <v>DENTRO DO PRAZO</v>
      </c>
      <c r="Q31" s="49">
        <f t="shared" si="4"/>
        <v>43486</v>
      </c>
      <c r="R31" s="37">
        <v>43483</v>
      </c>
      <c r="S31" s="49" t="str">
        <f t="shared" si="5"/>
        <v>DENTRO DO PRAZO</v>
      </c>
    </row>
    <row r="32" spans="1:19">
      <c r="A32" s="37">
        <v>43482</v>
      </c>
      <c r="B32" s="46">
        <f t="shared" si="0"/>
        <v>1</v>
      </c>
      <c r="C32" s="34" t="s">
        <v>119</v>
      </c>
      <c r="D32" s="33">
        <v>577</v>
      </c>
      <c r="E32" s="35" t="s">
        <v>8</v>
      </c>
      <c r="F32" s="33" t="s">
        <v>17</v>
      </c>
      <c r="G32" s="33" t="s">
        <v>33</v>
      </c>
      <c r="I32" s="47">
        <f>IFERROR(INDEX(TBL_Frete!$A$1:$J$58,MATCH(IF($D32="","",VLOOKUP(D32,TBL_Frete!A:B,2,1)),TBL_Frete!B:B,0),MATCH(BD!E32,TBL_Frete!$A$1:$J$1,0)),"")+H32</f>
        <v>1303.184</v>
      </c>
      <c r="J32" s="47">
        <f t="shared" si="1"/>
        <v>1146.8019199999999</v>
      </c>
      <c r="K32" s="36">
        <v>950</v>
      </c>
      <c r="L32" s="47">
        <f t="shared" si="2"/>
        <v>196.80191999999988</v>
      </c>
      <c r="M32" s="39">
        <v>43483.333333333336</v>
      </c>
      <c r="N32" s="37">
        <v>43483</v>
      </c>
      <c r="O32" s="38">
        <v>0.33333333333333331</v>
      </c>
      <c r="P32" s="46" t="str">
        <f t="shared" si="3"/>
        <v>DENTRO DO PRAZO</v>
      </c>
      <c r="Q32" s="49">
        <f t="shared" si="4"/>
        <v>43486</v>
      </c>
      <c r="R32" s="37">
        <v>43483</v>
      </c>
      <c r="S32" s="49" t="str">
        <f t="shared" si="5"/>
        <v>DENTRO DO PRAZO</v>
      </c>
    </row>
    <row r="33" spans="1:19">
      <c r="A33" s="37">
        <v>43482</v>
      </c>
      <c r="B33" s="46">
        <f t="shared" si="0"/>
        <v>1</v>
      </c>
      <c r="C33" s="34" t="s">
        <v>120</v>
      </c>
      <c r="D33" s="33">
        <v>557</v>
      </c>
      <c r="E33" s="35" t="s">
        <v>8</v>
      </c>
      <c r="F33" s="33" t="s">
        <v>17</v>
      </c>
      <c r="G33" s="33" t="s">
        <v>22</v>
      </c>
      <c r="I33" s="47">
        <f>IFERROR(INDEX(TBL_Frete!$A$1:$J$58,MATCH(IF($D33="","",VLOOKUP(D33,TBL_Frete!A:B,2,1)),TBL_Frete!B:B,0),MATCH(BD!E33,TBL_Frete!$A$1:$J$1,0)),"")+H33</f>
        <v>1303.184</v>
      </c>
      <c r="J33" s="47">
        <f t="shared" si="1"/>
        <v>1146.8019199999999</v>
      </c>
      <c r="K33" s="36">
        <v>950</v>
      </c>
      <c r="L33" s="47">
        <f t="shared" si="2"/>
        <v>196.80191999999988</v>
      </c>
      <c r="M33" s="39">
        <v>43483.333333333336</v>
      </c>
      <c r="N33" s="37">
        <v>43483</v>
      </c>
      <c r="O33" s="38">
        <v>0.59722222222222221</v>
      </c>
      <c r="P33" s="46" t="str">
        <f t="shared" si="3"/>
        <v>FORA DO PRAZO</v>
      </c>
      <c r="Q33" s="49">
        <f t="shared" si="4"/>
        <v>43486</v>
      </c>
      <c r="R33" s="37">
        <v>43486</v>
      </c>
      <c r="S33" s="49" t="str">
        <f t="shared" si="5"/>
        <v>FORA DO PRAZO</v>
      </c>
    </row>
    <row r="34" spans="1:19">
      <c r="A34" s="37">
        <v>43483</v>
      </c>
      <c r="B34" s="46">
        <f t="shared" si="0"/>
        <v>1</v>
      </c>
      <c r="C34" s="34">
        <v>2020011710818</v>
      </c>
      <c r="D34" s="33">
        <v>585</v>
      </c>
      <c r="E34" s="35" t="s">
        <v>13</v>
      </c>
      <c r="F34" s="33" t="s">
        <v>17</v>
      </c>
      <c r="G34" s="33" t="s">
        <v>32</v>
      </c>
      <c r="H34" s="36">
        <v>72</v>
      </c>
      <c r="I34" s="47">
        <f>IFERROR(INDEX(TBL_Frete!$A$1:$J$58,MATCH(IF($D34="","",VLOOKUP(D34,TBL_Frete!A:B,2,1)),TBL_Frete!B:B,0),MATCH(BD!E34,TBL_Frete!$A$1:$J$1,0)),"")+H34</f>
        <v>2584.19</v>
      </c>
      <c r="J34" s="47">
        <f t="shared" si="1"/>
        <v>2274.0871999999999</v>
      </c>
      <c r="K34" s="36">
        <v>2050</v>
      </c>
      <c r="L34" s="47">
        <f t="shared" si="2"/>
        <v>224.08719999999994</v>
      </c>
      <c r="M34" s="39">
        <v>43484.416666666664</v>
      </c>
      <c r="N34" s="37">
        <v>43484</v>
      </c>
      <c r="O34" s="38">
        <v>0.41666666666666669</v>
      </c>
      <c r="P34" s="46" t="str">
        <f t="shared" si="3"/>
        <v>DENTRO DO PRAZO</v>
      </c>
      <c r="Q34" s="49">
        <f t="shared" si="4"/>
        <v>43486</v>
      </c>
      <c r="R34" s="37">
        <v>43486</v>
      </c>
      <c r="S34" s="49" t="str">
        <f t="shared" si="5"/>
        <v>FORA DO PRAZO</v>
      </c>
    </row>
    <row r="35" spans="1:19">
      <c r="A35" s="37">
        <v>43483</v>
      </c>
      <c r="B35" s="46">
        <f t="shared" si="0"/>
        <v>1</v>
      </c>
      <c r="C35" s="34">
        <v>2020011710912</v>
      </c>
      <c r="D35" s="33">
        <v>739</v>
      </c>
      <c r="E35" s="35" t="s">
        <v>14</v>
      </c>
      <c r="F35" s="33" t="s">
        <v>17</v>
      </c>
      <c r="G35" s="33" t="s">
        <v>35</v>
      </c>
      <c r="H35" s="36">
        <v>72</v>
      </c>
      <c r="I35" s="47">
        <f>IFERROR(INDEX(TBL_Frete!$A$1:$J$58,MATCH(IF($D35="","",VLOOKUP(D35,TBL_Frete!A:B,2,1)),TBL_Frete!B:B,0),MATCH(BD!E35,TBL_Frete!$A$1:$J$1,0)),"")+H35</f>
        <v>3571.5</v>
      </c>
      <c r="J35" s="47">
        <f t="shared" si="1"/>
        <v>3142.92</v>
      </c>
      <c r="K35" s="36">
        <v>2450</v>
      </c>
      <c r="L35" s="47">
        <f t="shared" si="2"/>
        <v>692.92000000000007</v>
      </c>
      <c r="M35" s="39">
        <v>43484.541666666664</v>
      </c>
      <c r="N35" s="37">
        <v>43484</v>
      </c>
      <c r="O35" s="38">
        <v>0.54166666666666663</v>
      </c>
      <c r="P35" s="46" t="str">
        <f t="shared" si="3"/>
        <v>DENTRO DO PRAZO</v>
      </c>
      <c r="Q35" s="49">
        <f t="shared" si="4"/>
        <v>43486</v>
      </c>
      <c r="R35" s="37">
        <v>43487</v>
      </c>
      <c r="S35" s="49" t="str">
        <f t="shared" si="5"/>
        <v>FORA DO PRAZO</v>
      </c>
    </row>
    <row r="36" spans="1:19">
      <c r="A36" s="37">
        <v>43483</v>
      </c>
      <c r="B36" s="46">
        <f t="shared" si="0"/>
        <v>1</v>
      </c>
      <c r="C36" s="34">
        <v>2020011710944</v>
      </c>
      <c r="D36" s="33">
        <v>1189</v>
      </c>
      <c r="E36" s="35" t="s">
        <v>10</v>
      </c>
      <c r="F36" s="33" t="s">
        <v>17</v>
      </c>
      <c r="G36" s="33" t="s">
        <v>34</v>
      </c>
      <c r="I36" s="47">
        <f>IFERROR(INDEX(TBL_Frete!$A$1:$J$58,MATCH(IF($D36="","",VLOOKUP(D36,TBL_Frete!A:B,2,1)),TBL_Frete!B:B,0),MATCH(BD!E36,TBL_Frete!$A$1:$J$1,0)),"")+H36</f>
        <v>2966.07</v>
      </c>
      <c r="J36" s="47">
        <f t="shared" si="1"/>
        <v>2610.1415999999999</v>
      </c>
      <c r="K36" s="36">
        <v>2150</v>
      </c>
      <c r="L36" s="47">
        <f t="shared" si="2"/>
        <v>460.14159999999993</v>
      </c>
      <c r="M36" s="39">
        <v>43485.541666666664</v>
      </c>
      <c r="N36" s="37">
        <v>43485</v>
      </c>
      <c r="O36" s="38">
        <v>0.54166666666666663</v>
      </c>
      <c r="P36" s="46" t="str">
        <f t="shared" si="3"/>
        <v>DENTRO DO PRAZO</v>
      </c>
      <c r="Q36" s="49">
        <f t="shared" si="4"/>
        <v>43487</v>
      </c>
      <c r="R36" s="37">
        <v>43486</v>
      </c>
      <c r="S36" s="49" t="str">
        <f t="shared" si="5"/>
        <v>FORA DO PRAZO</v>
      </c>
    </row>
    <row r="37" spans="1:19">
      <c r="A37" s="37">
        <v>43483</v>
      </c>
      <c r="B37" s="46">
        <f t="shared" si="0"/>
        <v>1</v>
      </c>
      <c r="C37" s="34">
        <v>2020011800304</v>
      </c>
      <c r="D37" s="33">
        <v>540</v>
      </c>
      <c r="E37" s="35" t="s">
        <v>8</v>
      </c>
      <c r="F37" s="33" t="s">
        <v>17</v>
      </c>
      <c r="G37" s="33" t="s">
        <v>22</v>
      </c>
      <c r="I37" s="47">
        <f>IFERROR(INDEX(TBL_Frete!$A$1:$J$58,MATCH(IF($D37="","",VLOOKUP(D37,TBL_Frete!A:B,2,1)),TBL_Frete!B:B,0),MATCH(BD!E37,TBL_Frete!$A$1:$J$1,0)),"")+H37</f>
        <v>1217.47</v>
      </c>
      <c r="J37" s="47">
        <f t="shared" si="1"/>
        <v>1071.3736000000001</v>
      </c>
      <c r="K37" s="36">
        <v>1000</v>
      </c>
      <c r="L37" s="47">
        <f t="shared" si="2"/>
        <v>71.373600000000124</v>
      </c>
      <c r="M37" s="39">
        <v>43483.75</v>
      </c>
      <c r="N37" s="37">
        <v>43483</v>
      </c>
      <c r="O37" s="38">
        <v>0.72222222222222221</v>
      </c>
      <c r="P37" s="46" t="str">
        <f t="shared" si="3"/>
        <v>DENTRO DO PRAZO</v>
      </c>
      <c r="Q37" s="49">
        <f t="shared" si="4"/>
        <v>43486</v>
      </c>
      <c r="R37" s="37">
        <v>43486</v>
      </c>
      <c r="S37" s="49" t="str">
        <f t="shared" si="5"/>
        <v>FORA DO PRAZO</v>
      </c>
    </row>
    <row r="38" spans="1:19">
      <c r="A38" s="37">
        <v>43483</v>
      </c>
      <c r="B38" s="46">
        <f t="shared" si="0"/>
        <v>1</v>
      </c>
      <c r="C38" s="34">
        <v>2020011900200</v>
      </c>
      <c r="D38" s="33">
        <v>275</v>
      </c>
      <c r="E38" s="35" t="s">
        <v>12</v>
      </c>
      <c r="F38" s="33" t="s">
        <v>17</v>
      </c>
      <c r="G38" s="33" t="s">
        <v>36</v>
      </c>
      <c r="I38" s="47">
        <f>IFERROR(INDEX(TBL_Frete!$A$1:$J$58,MATCH(IF($D38="","",VLOOKUP(D38,TBL_Frete!A:B,2,1)),TBL_Frete!B:B,0),MATCH(BD!E38,TBL_Frete!$A$1:$J$1,0)),"")+H38</f>
        <v>1462.98</v>
      </c>
      <c r="J38" s="47">
        <f t="shared" si="1"/>
        <v>1287.4223999999999</v>
      </c>
      <c r="K38" s="36">
        <v>950</v>
      </c>
      <c r="L38" s="47">
        <f t="shared" si="2"/>
        <v>337.42239999999993</v>
      </c>
      <c r="M38" s="39">
        <v>43485.375</v>
      </c>
      <c r="N38" s="37">
        <v>43485</v>
      </c>
      <c r="O38" s="38">
        <v>0.375</v>
      </c>
      <c r="P38" s="46" t="str">
        <f t="shared" si="3"/>
        <v>DENTRO DO PRAZO</v>
      </c>
      <c r="Q38" s="49">
        <f t="shared" si="4"/>
        <v>43487</v>
      </c>
      <c r="R38" s="37">
        <v>43486</v>
      </c>
      <c r="S38" s="49" t="str">
        <f t="shared" si="5"/>
        <v>FORA DO PRAZO</v>
      </c>
    </row>
    <row r="39" spans="1:19">
      <c r="A39" s="37">
        <v>43483</v>
      </c>
      <c r="B39" s="46">
        <f t="shared" si="0"/>
        <v>1</v>
      </c>
      <c r="C39" s="34" t="s">
        <v>121</v>
      </c>
      <c r="D39" s="33">
        <v>566</v>
      </c>
      <c r="E39" s="35" t="s">
        <v>8</v>
      </c>
      <c r="F39" s="33" t="s">
        <v>17</v>
      </c>
      <c r="G39" s="33" t="s">
        <v>22</v>
      </c>
      <c r="I39" s="47">
        <f>IFERROR(INDEX(TBL_Frete!$A$1:$J$58,MATCH(IF($D39="","",VLOOKUP(D39,TBL_Frete!A:B,2,1)),TBL_Frete!B:B,0),MATCH(BD!E39,TBL_Frete!$A$1:$J$1,0)),"")+H39</f>
        <v>1303.184</v>
      </c>
      <c r="J39" s="47">
        <f t="shared" si="1"/>
        <v>1146.8019199999999</v>
      </c>
      <c r="K39" s="36">
        <v>900</v>
      </c>
      <c r="L39" s="47">
        <f t="shared" si="2"/>
        <v>246.80191999999988</v>
      </c>
      <c r="M39" s="39">
        <v>43486.333333333336</v>
      </c>
      <c r="N39" s="37">
        <v>43486</v>
      </c>
      <c r="O39" s="38">
        <v>0.29166666666666669</v>
      </c>
      <c r="P39" s="46" t="str">
        <f t="shared" si="3"/>
        <v>DENTRO DO PRAZO</v>
      </c>
      <c r="Q39" s="49">
        <f t="shared" si="4"/>
        <v>43488</v>
      </c>
      <c r="R39" s="37">
        <v>43487</v>
      </c>
      <c r="S39" s="49" t="str">
        <f t="shared" si="5"/>
        <v>FORA DO PRAZO</v>
      </c>
    </row>
    <row r="40" spans="1:19">
      <c r="A40" s="37">
        <v>43486</v>
      </c>
      <c r="B40" s="46">
        <f t="shared" si="0"/>
        <v>1</v>
      </c>
      <c r="C40" s="34">
        <v>2020012106476</v>
      </c>
      <c r="D40" s="33">
        <v>581</v>
      </c>
      <c r="E40" s="35" t="s">
        <v>12</v>
      </c>
      <c r="F40" s="33" t="s">
        <v>17</v>
      </c>
      <c r="G40" s="33" t="s">
        <v>48</v>
      </c>
      <c r="H40" s="36">
        <v>72</v>
      </c>
      <c r="I40" s="47">
        <f>IFERROR(INDEX(TBL_Frete!$A$1:$J$58,MATCH(IF($D40="","",VLOOKUP(D40,TBL_Frete!A:B,2,1)),TBL_Frete!B:B,0),MATCH(BD!E40,TBL_Frete!$A$1:$J$1,0)),"")+H40</f>
        <v>2063.4</v>
      </c>
      <c r="J40" s="47">
        <f t="shared" si="1"/>
        <v>1815.7920000000001</v>
      </c>
      <c r="K40" s="36">
        <v>1550</v>
      </c>
      <c r="L40" s="47">
        <f t="shared" si="2"/>
        <v>265.79200000000014</v>
      </c>
      <c r="M40" s="44">
        <v>43487.541666666664</v>
      </c>
      <c r="N40" s="37">
        <v>43487</v>
      </c>
      <c r="O40" s="38">
        <v>0.52083333333333337</v>
      </c>
      <c r="P40" s="46" t="str">
        <f t="shared" si="3"/>
        <v>DENTRO DO PRAZO</v>
      </c>
      <c r="Q40" s="49">
        <f t="shared" si="4"/>
        <v>43489</v>
      </c>
      <c r="R40" s="37">
        <v>43489</v>
      </c>
      <c r="S40" s="49" t="str">
        <f t="shared" si="5"/>
        <v>FORA DO PRAZO</v>
      </c>
    </row>
    <row r="41" spans="1:19">
      <c r="A41" s="37">
        <v>43486</v>
      </c>
      <c r="B41" s="46">
        <f t="shared" si="0"/>
        <v>1</v>
      </c>
      <c r="C41" s="34" t="s">
        <v>122</v>
      </c>
      <c r="D41" s="33">
        <v>449</v>
      </c>
      <c r="E41" s="35" t="s">
        <v>8</v>
      </c>
      <c r="F41" s="33" t="s">
        <v>17</v>
      </c>
      <c r="G41" s="33" t="s">
        <v>27</v>
      </c>
      <c r="I41" s="47">
        <f>IFERROR(INDEX(TBL_Frete!$A$1:$J$58,MATCH(IF($D41="","",VLOOKUP(D41,TBL_Frete!A:B,2,1)),TBL_Frete!B:B,0),MATCH(BD!E41,TBL_Frete!$A$1:$J$1,0)),"")+H41</f>
        <v>1071.4207999999999</v>
      </c>
      <c r="J41" s="47">
        <f t="shared" si="1"/>
        <v>942.85030399999982</v>
      </c>
      <c r="K41" s="36">
        <v>750</v>
      </c>
      <c r="L41" s="47">
        <f t="shared" si="2"/>
        <v>192.85030399999982</v>
      </c>
      <c r="M41" s="44">
        <v>43487.333333333336</v>
      </c>
      <c r="N41" s="37">
        <v>43487</v>
      </c>
      <c r="O41" s="38">
        <v>0.29166666666666669</v>
      </c>
      <c r="P41" s="46" t="str">
        <f t="shared" si="3"/>
        <v>DENTRO DO PRAZO</v>
      </c>
      <c r="Q41" s="49">
        <f t="shared" si="4"/>
        <v>43489</v>
      </c>
      <c r="R41" s="37">
        <v>43487</v>
      </c>
      <c r="S41" s="49" t="str">
        <f t="shared" si="5"/>
        <v>DENTRO DO PRAZO</v>
      </c>
    </row>
    <row r="42" spans="1:19">
      <c r="A42" s="37">
        <v>43487</v>
      </c>
      <c r="B42" s="46">
        <f t="shared" si="0"/>
        <v>1</v>
      </c>
      <c r="C42" s="34" t="s">
        <v>123</v>
      </c>
      <c r="D42" s="33">
        <v>997</v>
      </c>
      <c r="E42" s="35" t="s">
        <v>8</v>
      </c>
      <c r="F42" s="33" t="s">
        <v>17</v>
      </c>
      <c r="G42" s="33" t="s">
        <v>49</v>
      </c>
      <c r="I42" s="47">
        <f>IFERROR(INDEX(TBL_Frete!$A$1:$J$58,MATCH(IF($D42="","",VLOOKUP(D42,TBL_Frete!A:B,2,1)),TBL_Frete!B:B,0),MATCH(BD!E42,TBL_Frete!$A$1:$J$1,0)),"")+H42</f>
        <v>2637.63</v>
      </c>
      <c r="J42" s="47">
        <f t="shared" si="1"/>
        <v>2321.1143999999999</v>
      </c>
      <c r="K42" s="36">
        <v>1650</v>
      </c>
      <c r="L42" s="47">
        <f t="shared" si="2"/>
        <v>671.11439999999993</v>
      </c>
      <c r="M42" s="44">
        <v>43489.375</v>
      </c>
      <c r="N42" s="37">
        <v>43489</v>
      </c>
      <c r="O42" s="38">
        <v>0.375</v>
      </c>
      <c r="P42" s="46" t="str">
        <f t="shared" si="3"/>
        <v>DENTRO DO PRAZO</v>
      </c>
      <c r="Q42" s="49">
        <f t="shared" si="4"/>
        <v>43493</v>
      </c>
      <c r="R42" s="37">
        <v>43490</v>
      </c>
      <c r="S42" s="49" t="str">
        <f t="shared" si="5"/>
        <v>FORA DO PRAZO</v>
      </c>
    </row>
    <row r="43" spans="1:19">
      <c r="A43" s="37">
        <v>43487</v>
      </c>
      <c r="B43" s="46">
        <f t="shared" si="0"/>
        <v>1</v>
      </c>
      <c r="C43" s="34" t="s">
        <v>124</v>
      </c>
      <c r="D43" s="33">
        <v>806</v>
      </c>
      <c r="E43" s="35" t="s">
        <v>10</v>
      </c>
      <c r="F43" s="33" t="s">
        <v>17</v>
      </c>
      <c r="G43" s="33" t="s">
        <v>29</v>
      </c>
      <c r="I43" s="47">
        <f>IFERROR(INDEX(TBL_Frete!$A$1:$J$58,MATCH(IF($D43="","",VLOOKUP(D43,TBL_Frete!A:B,2,1)),TBL_Frete!B:B,0),MATCH(BD!E43,TBL_Frete!$A$1:$J$1,0)),"")+H43</f>
        <v>1985</v>
      </c>
      <c r="J43" s="47">
        <f t="shared" si="1"/>
        <v>1746.8</v>
      </c>
      <c r="K43" s="36">
        <v>1450</v>
      </c>
      <c r="L43" s="47">
        <f t="shared" si="2"/>
        <v>296.79999999999995</v>
      </c>
      <c r="M43" s="44">
        <v>43488.416666666664</v>
      </c>
      <c r="N43" s="37">
        <v>43488</v>
      </c>
      <c r="O43" s="38">
        <v>0.45833333333333331</v>
      </c>
      <c r="P43" s="46" t="str">
        <f t="shared" si="3"/>
        <v>FORA DO PRAZO</v>
      </c>
      <c r="Q43" s="49">
        <f t="shared" si="4"/>
        <v>43490</v>
      </c>
      <c r="R43" s="37">
        <v>43493</v>
      </c>
      <c r="S43" s="49" t="str">
        <f t="shared" si="5"/>
        <v>FORA DO PRAZO</v>
      </c>
    </row>
    <row r="44" spans="1:19">
      <c r="A44" s="37">
        <v>43487</v>
      </c>
      <c r="B44" s="46">
        <f t="shared" si="0"/>
        <v>1</v>
      </c>
      <c r="C44" s="34" t="s">
        <v>125</v>
      </c>
      <c r="D44" s="33">
        <v>471</v>
      </c>
      <c r="E44" s="35" t="s">
        <v>8</v>
      </c>
      <c r="F44" s="33" t="s">
        <v>17</v>
      </c>
      <c r="G44" s="33" t="s">
        <v>27</v>
      </c>
      <c r="I44" s="47">
        <f>IFERROR(INDEX(TBL_Frete!$A$1:$J$58,MATCH(IF($D44="","",VLOOKUP(D44,TBL_Frete!A:B,2,1)),TBL_Frete!B:B,0),MATCH(BD!E44,TBL_Frete!$A$1:$J$1,0)),"")+H44</f>
        <v>1103.21</v>
      </c>
      <c r="J44" s="47">
        <f t="shared" si="1"/>
        <v>970.8248000000001</v>
      </c>
      <c r="K44" s="36">
        <v>800</v>
      </c>
      <c r="L44" s="47">
        <f t="shared" si="2"/>
        <v>170.8248000000001</v>
      </c>
      <c r="M44" s="44">
        <v>43488.333333333336</v>
      </c>
      <c r="N44" s="37">
        <v>43488</v>
      </c>
      <c r="O44" s="38">
        <v>0.29166666666666669</v>
      </c>
      <c r="P44" s="46" t="str">
        <f t="shared" si="3"/>
        <v>DENTRO DO PRAZO</v>
      </c>
      <c r="Q44" s="49">
        <f t="shared" si="4"/>
        <v>43490</v>
      </c>
      <c r="R44" s="37">
        <v>43490</v>
      </c>
      <c r="S44" s="49" t="str">
        <f t="shared" si="5"/>
        <v>FORA DO PRAZO</v>
      </c>
    </row>
    <row r="45" spans="1:19">
      <c r="A45" s="37">
        <v>43487</v>
      </c>
      <c r="B45" s="46">
        <f t="shared" si="0"/>
        <v>1</v>
      </c>
      <c r="C45" s="34" t="s">
        <v>126</v>
      </c>
      <c r="D45" s="33">
        <v>566</v>
      </c>
      <c r="E45" s="35" t="s">
        <v>8</v>
      </c>
      <c r="F45" s="33" t="s">
        <v>17</v>
      </c>
      <c r="G45" s="33" t="s">
        <v>22</v>
      </c>
      <c r="H45" s="36">
        <v>72</v>
      </c>
      <c r="I45" s="47">
        <f>IFERROR(INDEX(TBL_Frete!$A$1:$J$58,MATCH(IF($D45="","",VLOOKUP(D45,TBL_Frete!A:B,2,1)),TBL_Frete!B:B,0),MATCH(BD!E45,TBL_Frete!$A$1:$J$1,0)),"")+H45</f>
        <v>1375.184</v>
      </c>
      <c r="J45" s="47">
        <f t="shared" si="1"/>
        <v>1210.16192</v>
      </c>
      <c r="K45" s="36">
        <v>1000</v>
      </c>
      <c r="L45" s="47">
        <f t="shared" si="2"/>
        <v>210.16192000000001</v>
      </c>
      <c r="M45" s="44">
        <v>43489.333333333336</v>
      </c>
      <c r="N45" s="37">
        <v>43489</v>
      </c>
      <c r="O45" s="38">
        <v>0.63194444444444442</v>
      </c>
      <c r="P45" s="46" t="str">
        <f t="shared" si="3"/>
        <v>FORA DO PRAZO</v>
      </c>
      <c r="Q45" s="49">
        <f t="shared" si="4"/>
        <v>43493</v>
      </c>
      <c r="R45" s="37">
        <v>43490</v>
      </c>
      <c r="S45" s="49" t="str">
        <f t="shared" si="5"/>
        <v>FORA DO PRAZO</v>
      </c>
    </row>
    <row r="46" spans="1:19">
      <c r="A46" s="37">
        <v>43488</v>
      </c>
      <c r="B46" s="46">
        <f t="shared" si="0"/>
        <v>1</v>
      </c>
      <c r="C46" s="34">
        <v>2020012209512</v>
      </c>
      <c r="D46" s="33">
        <v>660</v>
      </c>
      <c r="E46" s="35" t="s">
        <v>12</v>
      </c>
      <c r="F46" s="33" t="s">
        <v>17</v>
      </c>
      <c r="G46" s="33" t="s">
        <v>35</v>
      </c>
      <c r="H46" s="36">
        <v>72</v>
      </c>
      <c r="I46" s="47">
        <f>IFERROR(INDEX(TBL_Frete!$A$1:$J$58,MATCH(IF($D46="","",VLOOKUP(D46,TBL_Frete!A:B,2,1)),TBL_Frete!B:B,0),MATCH(BD!E46,TBL_Frete!$A$1:$J$1,0)),"")+H46</f>
        <v>2269.17</v>
      </c>
      <c r="J46" s="47">
        <f t="shared" si="1"/>
        <v>1996.8696</v>
      </c>
      <c r="K46" s="36">
        <v>1700</v>
      </c>
      <c r="L46" s="47">
        <f t="shared" si="2"/>
        <v>296.86959999999999</v>
      </c>
      <c r="M46" s="44">
        <v>43489.375</v>
      </c>
      <c r="N46" s="37">
        <v>43489</v>
      </c>
      <c r="O46" s="38">
        <v>0.66666666666666663</v>
      </c>
      <c r="P46" s="46" t="str">
        <f t="shared" si="3"/>
        <v>FORA DO PRAZO</v>
      </c>
      <c r="Q46" s="49">
        <f t="shared" si="4"/>
        <v>43493</v>
      </c>
      <c r="R46" s="37">
        <v>43493</v>
      </c>
      <c r="S46" s="49" t="str">
        <f t="shared" si="5"/>
        <v>FORA DO PRAZO</v>
      </c>
    </row>
    <row r="47" spans="1:19">
      <c r="A47" s="37">
        <v>43488</v>
      </c>
      <c r="B47" s="46">
        <f t="shared" si="0"/>
        <v>1</v>
      </c>
      <c r="C47" s="34">
        <v>2020012209645</v>
      </c>
      <c r="D47" s="33">
        <v>493</v>
      </c>
      <c r="E47" s="35" t="s">
        <v>13</v>
      </c>
      <c r="F47" s="33" t="s">
        <v>17</v>
      </c>
      <c r="G47" s="33" t="s">
        <v>50</v>
      </c>
      <c r="H47" s="36">
        <v>72</v>
      </c>
      <c r="I47" s="47">
        <f>IFERROR(INDEX(TBL_Frete!$A$1:$J$58,MATCH(IF($D47="","",VLOOKUP(D47,TBL_Frete!A:B,2,1)),TBL_Frete!B:B,0),MATCH(BD!E47,TBL_Frete!$A$1:$J$1,0)),"")+H47</f>
        <v>2154.12</v>
      </c>
      <c r="J47" s="47">
        <f t="shared" si="1"/>
        <v>1895.6255999999998</v>
      </c>
      <c r="K47" s="36">
        <v>2050</v>
      </c>
      <c r="L47" s="47">
        <f t="shared" si="2"/>
        <v>-154.37440000000015</v>
      </c>
      <c r="M47" s="44">
        <v>43489.375</v>
      </c>
      <c r="N47" s="37">
        <v>43489</v>
      </c>
      <c r="O47" s="38">
        <v>0.39583333333333331</v>
      </c>
      <c r="P47" s="46" t="str">
        <f t="shared" si="3"/>
        <v>FORA DO PRAZO</v>
      </c>
      <c r="Q47" s="49">
        <f t="shared" si="4"/>
        <v>43493</v>
      </c>
      <c r="R47" s="37">
        <v>43489</v>
      </c>
      <c r="S47" s="49" t="str">
        <f t="shared" si="5"/>
        <v>DENTRO DO PRAZO</v>
      </c>
    </row>
    <row r="48" spans="1:19">
      <c r="A48" s="37">
        <v>43488</v>
      </c>
      <c r="B48" s="46">
        <f t="shared" si="0"/>
        <v>1</v>
      </c>
      <c r="C48" s="34" t="s">
        <v>127</v>
      </c>
      <c r="D48" s="33">
        <v>707</v>
      </c>
      <c r="E48" s="35" t="s">
        <v>8</v>
      </c>
      <c r="F48" s="33" t="s">
        <v>17</v>
      </c>
      <c r="G48" s="33" t="s">
        <v>51</v>
      </c>
      <c r="I48" s="47">
        <f>IFERROR(INDEX(TBL_Frete!$A$1:$J$58,MATCH(IF($D48="","",VLOOKUP(D48,TBL_Frete!A:B,2,1)),TBL_Frete!B:B,0),MATCH(BD!E48,TBL_Frete!$A$1:$J$1,0)),"")+H48</f>
        <v>1577.3088399999999</v>
      </c>
      <c r="J48" s="47">
        <f t="shared" si="1"/>
        <v>1388.0317791999998</v>
      </c>
      <c r="K48" s="36">
        <v>1050</v>
      </c>
      <c r="L48" s="47">
        <f t="shared" si="2"/>
        <v>338.03177919999985</v>
      </c>
      <c r="M48" s="44">
        <v>43489.333333333336</v>
      </c>
      <c r="N48" s="37">
        <v>43489</v>
      </c>
      <c r="O48" s="38">
        <v>0.66666666666666663</v>
      </c>
      <c r="P48" s="46" t="str">
        <f t="shared" si="3"/>
        <v>FORA DO PRAZO</v>
      </c>
      <c r="Q48" s="49">
        <f t="shared" si="4"/>
        <v>43493</v>
      </c>
      <c r="R48" s="37">
        <v>43490</v>
      </c>
      <c r="S48" s="49" t="str">
        <f t="shared" si="5"/>
        <v>FORA DO PRAZO</v>
      </c>
    </row>
    <row r="49" spans="1:19">
      <c r="A49" s="37">
        <v>43489</v>
      </c>
      <c r="B49" s="46">
        <f t="shared" si="0"/>
        <v>1</v>
      </c>
      <c r="C49" s="34">
        <v>2020012310518</v>
      </c>
      <c r="D49" s="33">
        <v>580</v>
      </c>
      <c r="E49" s="35" t="s">
        <v>12</v>
      </c>
      <c r="F49" s="33" t="s">
        <v>17</v>
      </c>
      <c r="G49" s="33" t="s">
        <v>18</v>
      </c>
      <c r="I49" s="47">
        <f>IFERROR(INDEX(TBL_Frete!$A$1:$J$58,MATCH(IF($D49="","",VLOOKUP(D49,TBL_Frete!A:B,2,1)),TBL_Frete!B:B,0),MATCH(BD!E49,TBL_Frete!$A$1:$J$1,0)),"")+H49</f>
        <v>1991.4</v>
      </c>
      <c r="J49" s="47">
        <f t="shared" si="1"/>
        <v>1752.432</v>
      </c>
      <c r="K49" s="36">
        <v>1550</v>
      </c>
      <c r="L49" s="47">
        <f t="shared" si="2"/>
        <v>202.43200000000002</v>
      </c>
      <c r="M49" s="44">
        <v>43490.458333333336</v>
      </c>
      <c r="N49" s="37">
        <v>43490</v>
      </c>
      <c r="O49" s="38">
        <v>0.52083333333333337</v>
      </c>
      <c r="P49" s="46" t="str">
        <f t="shared" si="3"/>
        <v>FORA DO PRAZO</v>
      </c>
      <c r="Q49" s="49">
        <f t="shared" si="4"/>
        <v>43493</v>
      </c>
      <c r="R49" s="37">
        <v>43490</v>
      </c>
      <c r="S49" s="49" t="str">
        <f t="shared" si="5"/>
        <v>DENTRO DO PRAZO</v>
      </c>
    </row>
    <row r="50" spans="1:19">
      <c r="A50" s="37">
        <v>43489</v>
      </c>
      <c r="B50" s="46">
        <f t="shared" si="0"/>
        <v>1</v>
      </c>
      <c r="C50" s="34">
        <v>2020012310711</v>
      </c>
      <c r="D50" s="33">
        <v>677</v>
      </c>
      <c r="E50" s="35" t="s">
        <v>13</v>
      </c>
      <c r="F50" s="33" t="s">
        <v>17</v>
      </c>
      <c r="G50" s="33" t="s">
        <v>35</v>
      </c>
      <c r="H50" s="36">
        <v>619</v>
      </c>
      <c r="I50" s="47">
        <f>IFERROR(INDEX(TBL_Frete!$A$1:$J$58,MATCH(IF($D50="","",VLOOKUP(D50,TBL_Frete!A:B,2,1)),TBL_Frete!B:B,0),MATCH(BD!E50,TBL_Frete!$A$1:$J$1,0)),"")+H50</f>
        <v>3567.35</v>
      </c>
      <c r="J50" s="47">
        <f t="shared" si="1"/>
        <v>3139.268</v>
      </c>
      <c r="K50" s="36">
        <v>2450</v>
      </c>
      <c r="L50" s="47">
        <f t="shared" si="2"/>
        <v>689.26800000000003</v>
      </c>
      <c r="M50" s="44">
        <v>43490.375</v>
      </c>
      <c r="N50" s="37">
        <v>43490</v>
      </c>
      <c r="O50" s="38">
        <v>0.60069444444444442</v>
      </c>
      <c r="P50" s="46" t="str">
        <f t="shared" si="3"/>
        <v>FORA DO PRAZO</v>
      </c>
      <c r="Q50" s="49">
        <f t="shared" si="4"/>
        <v>43493</v>
      </c>
      <c r="R50" s="37">
        <v>43493</v>
      </c>
      <c r="S50" s="49" t="str">
        <f t="shared" si="5"/>
        <v>FORA DO PRAZO</v>
      </c>
    </row>
    <row r="51" spans="1:19">
      <c r="A51" s="37">
        <v>43489</v>
      </c>
      <c r="B51" s="46">
        <f t="shared" si="0"/>
        <v>1</v>
      </c>
      <c r="C51" s="34" t="s">
        <v>128</v>
      </c>
      <c r="D51" s="33">
        <v>471</v>
      </c>
      <c r="E51" s="35" t="s">
        <v>8</v>
      </c>
      <c r="F51" s="33" t="s">
        <v>17</v>
      </c>
      <c r="G51" s="33" t="s">
        <v>27</v>
      </c>
      <c r="I51" s="47">
        <f>IFERROR(INDEX(TBL_Frete!$A$1:$J$58,MATCH(IF($D51="","",VLOOKUP(D51,TBL_Frete!A:B,2,1)),TBL_Frete!B:B,0),MATCH(BD!E51,TBL_Frete!$A$1:$J$1,0)),"")+H51</f>
        <v>1103.21</v>
      </c>
      <c r="J51" s="47">
        <f t="shared" si="1"/>
        <v>970.8248000000001</v>
      </c>
      <c r="K51" s="36">
        <v>800</v>
      </c>
      <c r="L51" s="47">
        <f t="shared" si="2"/>
        <v>170.8248000000001</v>
      </c>
      <c r="M51" s="44">
        <v>43490.333333333336</v>
      </c>
      <c r="N51" s="37">
        <v>43490</v>
      </c>
      <c r="O51" s="38">
        <v>0.3125</v>
      </c>
      <c r="P51" s="46" t="str">
        <f t="shared" si="3"/>
        <v>DENTRO DO PRAZO</v>
      </c>
      <c r="Q51" s="49">
        <f t="shared" si="4"/>
        <v>43493</v>
      </c>
      <c r="R51" s="37">
        <v>43490</v>
      </c>
      <c r="S51" s="49" t="str">
        <f t="shared" si="5"/>
        <v>DENTRO DO PRAZO</v>
      </c>
    </row>
    <row r="52" spans="1:19">
      <c r="A52" s="37">
        <v>43489</v>
      </c>
      <c r="B52" s="46">
        <f t="shared" si="0"/>
        <v>1</v>
      </c>
      <c r="C52" s="34" t="s">
        <v>129</v>
      </c>
      <c r="D52" s="33">
        <v>566</v>
      </c>
      <c r="E52" s="35" t="s">
        <v>10</v>
      </c>
      <c r="F52" s="33" t="s">
        <v>17</v>
      </c>
      <c r="G52" s="33" t="s">
        <v>22</v>
      </c>
      <c r="I52" s="47">
        <f>IFERROR(INDEX(TBL_Frete!$A$1:$J$58,MATCH(IF($D52="","",VLOOKUP(D52,TBL_Frete!A:B,2,1)),TBL_Frete!B:B,0),MATCH(BD!E52,TBL_Frete!$A$1:$J$1,0)),"")+H52</f>
        <v>1355.4</v>
      </c>
      <c r="J52" s="47">
        <f t="shared" si="1"/>
        <v>1192.7520000000002</v>
      </c>
      <c r="K52" s="36">
        <v>950</v>
      </c>
      <c r="L52" s="47">
        <f t="shared" si="2"/>
        <v>242.75200000000018</v>
      </c>
      <c r="M52" s="44">
        <v>43490.333333333336</v>
      </c>
      <c r="N52" s="37">
        <v>43490</v>
      </c>
      <c r="O52" s="38">
        <v>0.4375</v>
      </c>
      <c r="P52" s="46" t="str">
        <f t="shared" si="3"/>
        <v>FORA DO PRAZO</v>
      </c>
      <c r="Q52" s="49">
        <f t="shared" si="4"/>
        <v>43493</v>
      </c>
      <c r="R52" s="37">
        <v>43490</v>
      </c>
      <c r="S52" s="49" t="str">
        <f t="shared" si="5"/>
        <v>DENTRO DO PRAZO</v>
      </c>
    </row>
    <row r="53" spans="1:19">
      <c r="A53" s="37">
        <v>43490</v>
      </c>
      <c r="B53" s="46">
        <f t="shared" si="0"/>
        <v>1</v>
      </c>
      <c r="C53" s="34">
        <v>2020012410559</v>
      </c>
      <c r="D53" s="33">
        <v>721</v>
      </c>
      <c r="E53" s="35" t="s">
        <v>10</v>
      </c>
      <c r="F53" s="33" t="s">
        <v>17</v>
      </c>
      <c r="G53" s="33" t="s">
        <v>35</v>
      </c>
      <c r="H53" s="36">
        <v>144</v>
      </c>
      <c r="I53" s="47">
        <f>IFERROR(INDEX(TBL_Frete!$A$1:$J$58,MATCH(IF($D53="","",VLOOKUP(D53,TBL_Frete!A:B,2,1)),TBL_Frete!B:B,0),MATCH(BD!E53,TBL_Frete!$A$1:$J$1,0)),"")+H53</f>
        <v>1929</v>
      </c>
      <c r="J53" s="47">
        <f t="shared" si="1"/>
        <v>1697.52</v>
      </c>
      <c r="K53" s="36">
        <v>1450</v>
      </c>
      <c r="L53" s="47">
        <f t="shared" si="2"/>
        <v>247.51999999999998</v>
      </c>
      <c r="M53" s="44">
        <v>43493.333333333336</v>
      </c>
      <c r="N53" s="37">
        <v>43493</v>
      </c>
      <c r="O53" s="38">
        <v>0.33333333333333331</v>
      </c>
      <c r="P53" s="46" t="str">
        <f t="shared" si="3"/>
        <v>DENTRO DO PRAZO</v>
      </c>
      <c r="Q53" s="49">
        <f t="shared" si="4"/>
        <v>43495</v>
      </c>
      <c r="R53" s="37">
        <v>43494</v>
      </c>
      <c r="S53" s="49" t="str">
        <f t="shared" si="5"/>
        <v>FORA DO PRAZO</v>
      </c>
    </row>
    <row r="54" spans="1:19">
      <c r="A54" s="37">
        <v>43490</v>
      </c>
      <c r="B54" s="46">
        <f t="shared" si="0"/>
        <v>1</v>
      </c>
      <c r="C54" s="34" t="s">
        <v>130</v>
      </c>
      <c r="D54" s="33">
        <v>699</v>
      </c>
      <c r="E54" s="35" t="s">
        <v>8</v>
      </c>
      <c r="F54" s="33" t="s">
        <v>17</v>
      </c>
      <c r="G54" s="33" t="s">
        <v>22</v>
      </c>
      <c r="H54" s="36">
        <v>72</v>
      </c>
      <c r="I54" s="47">
        <f>IFERROR(INDEX(TBL_Frete!$A$1:$J$58,MATCH(IF($D54="","",VLOOKUP(D54,TBL_Frete!A:B,2,1)),TBL_Frete!B:B,0),MATCH(BD!E54,TBL_Frete!$A$1:$J$1,0)),"")+H54</f>
        <v>1550.8</v>
      </c>
      <c r="J54" s="47">
        <f t="shared" si="1"/>
        <v>1364.704</v>
      </c>
      <c r="K54" s="36">
        <v>1050</v>
      </c>
      <c r="L54" s="47">
        <f t="shared" si="2"/>
        <v>314.70399999999995</v>
      </c>
      <c r="M54" s="44">
        <v>43493.333333333336</v>
      </c>
      <c r="N54" s="37">
        <v>43493</v>
      </c>
      <c r="O54" s="38">
        <v>0.33333333333333331</v>
      </c>
      <c r="P54" s="46" t="str">
        <f t="shared" si="3"/>
        <v>DENTRO DO PRAZO</v>
      </c>
      <c r="Q54" s="49">
        <f t="shared" si="4"/>
        <v>43495</v>
      </c>
      <c r="R54" s="37">
        <v>43495</v>
      </c>
      <c r="S54" s="49" t="str">
        <f t="shared" si="5"/>
        <v>FORA DO PRAZO</v>
      </c>
    </row>
    <row r="55" spans="1:19">
      <c r="A55" s="37">
        <v>43493</v>
      </c>
      <c r="B55" s="46">
        <f t="shared" si="0"/>
        <v>1</v>
      </c>
      <c r="C55" s="34" t="s">
        <v>131</v>
      </c>
      <c r="D55" s="33">
        <v>997</v>
      </c>
      <c r="E55" s="35" t="s">
        <v>8</v>
      </c>
      <c r="F55" s="33" t="s">
        <v>17</v>
      </c>
      <c r="G55" s="33" t="s">
        <v>49</v>
      </c>
      <c r="H55" s="36">
        <v>72</v>
      </c>
      <c r="I55" s="47">
        <f>IFERROR(INDEX(TBL_Frete!$A$1:$J$58,MATCH(IF($D55="","",VLOOKUP(D55,TBL_Frete!A:B,2,1)),TBL_Frete!B:B,0),MATCH(BD!E55,TBL_Frete!$A$1:$J$1,0)),"")+H55</f>
        <v>2709.63</v>
      </c>
      <c r="J55" s="47">
        <f t="shared" si="1"/>
        <v>2384.4744000000001</v>
      </c>
      <c r="K55" s="36">
        <v>1800</v>
      </c>
      <c r="L55" s="47">
        <f t="shared" si="2"/>
        <v>584.47440000000006</v>
      </c>
      <c r="M55" s="44">
        <v>43494.416666666664</v>
      </c>
      <c r="N55" s="37">
        <v>43494</v>
      </c>
      <c r="O55" s="38">
        <v>0.45833333333333331</v>
      </c>
      <c r="P55" s="46" t="str">
        <f t="shared" si="3"/>
        <v>FORA DO PRAZO</v>
      </c>
      <c r="Q55" s="49">
        <f t="shared" si="4"/>
        <v>43496</v>
      </c>
      <c r="R55" s="37">
        <v>43495</v>
      </c>
      <c r="S55" s="49" t="str">
        <f t="shared" si="5"/>
        <v>FORA DO PRAZO</v>
      </c>
    </row>
    <row r="56" spans="1:19">
      <c r="A56" s="37">
        <v>43494</v>
      </c>
      <c r="B56" s="46">
        <f t="shared" si="0"/>
        <v>1</v>
      </c>
      <c r="C56" s="34" t="s">
        <v>132</v>
      </c>
      <c r="D56" s="33">
        <v>471</v>
      </c>
      <c r="E56" s="35" t="s">
        <v>8</v>
      </c>
      <c r="F56" s="33" t="s">
        <v>17</v>
      </c>
      <c r="G56" s="33" t="s">
        <v>27</v>
      </c>
      <c r="I56" s="47">
        <f>IFERROR(INDEX(TBL_Frete!$A$1:$J$58,MATCH(IF($D56="","",VLOOKUP(D56,TBL_Frete!A:B,2,1)),TBL_Frete!B:B,0),MATCH(BD!E56,TBL_Frete!$A$1:$J$1,0)),"")+H56</f>
        <v>1103.21</v>
      </c>
      <c r="J56" s="47">
        <f t="shared" si="1"/>
        <v>970.8248000000001</v>
      </c>
      <c r="K56" s="36">
        <v>800</v>
      </c>
      <c r="L56" s="47">
        <f t="shared" si="2"/>
        <v>170.8248000000001</v>
      </c>
      <c r="M56" s="44">
        <v>43495.333333333336</v>
      </c>
      <c r="N56" s="37">
        <v>43495</v>
      </c>
      <c r="O56" s="38">
        <v>0.33333333333333331</v>
      </c>
      <c r="P56" s="46" t="str">
        <f t="shared" si="3"/>
        <v>DENTRO DO PRAZO</v>
      </c>
      <c r="Q56" s="49">
        <f t="shared" si="4"/>
        <v>43497</v>
      </c>
      <c r="R56" s="37">
        <v>43495</v>
      </c>
      <c r="S56" s="49" t="str">
        <f t="shared" si="5"/>
        <v>DENTRO DO PRAZO</v>
      </c>
    </row>
    <row r="57" spans="1:19">
      <c r="A57" s="37">
        <v>43494</v>
      </c>
      <c r="B57" s="46">
        <f t="shared" si="0"/>
        <v>1</v>
      </c>
      <c r="C57" s="34" t="s">
        <v>133</v>
      </c>
      <c r="D57" s="33">
        <v>655</v>
      </c>
      <c r="E57" s="35" t="s">
        <v>8</v>
      </c>
      <c r="F57" s="33" t="s">
        <v>17</v>
      </c>
      <c r="G57" s="33" t="s">
        <v>22</v>
      </c>
      <c r="I57" s="47">
        <f>IFERROR(INDEX(TBL_Frete!$A$1:$J$58,MATCH(IF($D57="","",VLOOKUP(D57,TBL_Frete!A:B,2,1)),TBL_Frete!B:B,0),MATCH(BD!E57,TBL_Frete!$A$1:$J$1,0)),"")+H57</f>
        <v>1478.8</v>
      </c>
      <c r="J57" s="47">
        <f t="shared" si="1"/>
        <v>1301.3440000000001</v>
      </c>
      <c r="K57" s="36">
        <v>1050</v>
      </c>
      <c r="L57" s="47">
        <f t="shared" si="2"/>
        <v>251.34400000000005</v>
      </c>
      <c r="M57" s="44">
        <v>43495.388888888891</v>
      </c>
      <c r="N57" s="37">
        <v>43495</v>
      </c>
      <c r="O57" s="38">
        <v>0.3888888888888889</v>
      </c>
      <c r="P57" s="46" t="str">
        <f t="shared" si="3"/>
        <v>DENTRO DO PRAZO</v>
      </c>
      <c r="Q57" s="49">
        <f t="shared" si="4"/>
        <v>43497</v>
      </c>
      <c r="R57" s="37">
        <v>43495</v>
      </c>
      <c r="S57" s="49" t="str">
        <f t="shared" si="5"/>
        <v>DENTRO DO PRAZO</v>
      </c>
    </row>
    <row r="58" spans="1:19">
      <c r="A58" s="37">
        <v>43495</v>
      </c>
      <c r="B58" s="46">
        <f t="shared" si="0"/>
        <v>1</v>
      </c>
      <c r="C58" s="34">
        <v>2020012909732</v>
      </c>
      <c r="D58" s="33">
        <v>862</v>
      </c>
      <c r="E58" s="35" t="s">
        <v>15</v>
      </c>
      <c r="F58" s="33" t="s">
        <v>17</v>
      </c>
      <c r="G58" s="33" t="s">
        <v>52</v>
      </c>
      <c r="I58" s="47">
        <f>IFERROR(INDEX(TBL_Frete!$A$1:$J$58,MATCH(IF($D58="","",VLOOKUP(D58,TBL_Frete!A:B,2,1)),TBL_Frete!B:B,0),MATCH(BD!E58,TBL_Frete!$A$1:$J$1,0)),"")+H58</f>
        <v>5288.32</v>
      </c>
      <c r="J58" s="47">
        <f t="shared" si="1"/>
        <v>4653.7215999999999</v>
      </c>
      <c r="K58" s="36">
        <v>3950</v>
      </c>
      <c r="L58" s="47">
        <f t="shared" si="2"/>
        <v>703.72159999999985</v>
      </c>
      <c r="M58" s="44">
        <v>43496.416666666664</v>
      </c>
      <c r="N58" s="37">
        <v>43496</v>
      </c>
      <c r="O58" s="38">
        <v>0.95833333333333337</v>
      </c>
      <c r="P58" s="46" t="str">
        <f t="shared" si="3"/>
        <v>FORA DO PRAZO</v>
      </c>
      <c r="Q58" s="49">
        <f t="shared" si="4"/>
        <v>43500</v>
      </c>
      <c r="R58" s="37">
        <v>43497</v>
      </c>
      <c r="S58" s="49" t="str">
        <f t="shared" si="5"/>
        <v>FORA DO PRAZO</v>
      </c>
    </row>
    <row r="59" spans="1:19">
      <c r="A59" s="37">
        <v>43495</v>
      </c>
      <c r="B59" s="46">
        <f t="shared" si="0"/>
        <v>1</v>
      </c>
      <c r="C59" s="34">
        <v>2020013000156</v>
      </c>
      <c r="D59" s="33">
        <v>581</v>
      </c>
      <c r="E59" s="35" t="s">
        <v>10</v>
      </c>
      <c r="F59" s="33" t="s">
        <v>17</v>
      </c>
      <c r="G59" s="33" t="s">
        <v>18</v>
      </c>
      <c r="I59" s="47">
        <f>IFERROR(INDEX(TBL_Frete!$A$1:$J$58,MATCH(IF($D59="","",VLOOKUP(D59,TBL_Frete!A:B,2,1)),TBL_Frete!B:B,0),MATCH(BD!E59,TBL_Frete!$A$1:$J$1,0)),"")+H59</f>
        <v>1355.4</v>
      </c>
      <c r="J59" s="47">
        <f t="shared" si="1"/>
        <v>1192.7520000000002</v>
      </c>
      <c r="K59" s="36">
        <v>1050</v>
      </c>
      <c r="L59" s="47">
        <f t="shared" si="2"/>
        <v>142.75200000000018</v>
      </c>
      <c r="M59" s="44">
        <v>43496.458333333336</v>
      </c>
      <c r="N59" s="37">
        <v>43496</v>
      </c>
      <c r="O59" s="38">
        <v>0.33333333333333331</v>
      </c>
      <c r="P59" s="46" t="str">
        <f t="shared" si="3"/>
        <v>DENTRO DO PRAZO</v>
      </c>
      <c r="Q59" s="49">
        <f t="shared" si="4"/>
        <v>43500</v>
      </c>
      <c r="R59" s="37">
        <v>43497</v>
      </c>
      <c r="S59" s="49" t="str">
        <f t="shared" si="5"/>
        <v>FORA DO PRAZO</v>
      </c>
    </row>
    <row r="60" spans="1:19">
      <c r="A60" s="37">
        <v>43495</v>
      </c>
      <c r="B60" s="46">
        <f t="shared" si="0"/>
        <v>1</v>
      </c>
      <c r="C60" s="34" t="s">
        <v>134</v>
      </c>
      <c r="D60" s="33">
        <v>807</v>
      </c>
      <c r="E60" s="35" t="s">
        <v>8</v>
      </c>
      <c r="F60" s="33" t="s">
        <v>17</v>
      </c>
      <c r="G60" s="33" t="s">
        <v>29</v>
      </c>
      <c r="I60" s="47">
        <f>IFERROR(INDEX(TBL_Frete!$A$1:$J$58,MATCH(IF($D60="","",VLOOKUP(D60,TBL_Frete!A:B,2,1)),TBL_Frete!B:B,0),MATCH(BD!E60,TBL_Frete!$A$1:$J$1,0)),"")+H60</f>
        <v>1766.1125050000001</v>
      </c>
      <c r="J60" s="47">
        <f t="shared" si="1"/>
        <v>1554.1790043999999</v>
      </c>
      <c r="K60" s="36">
        <v>1350</v>
      </c>
      <c r="L60" s="47">
        <f t="shared" si="2"/>
        <v>204.17900439999994</v>
      </c>
      <c r="M60" s="44">
        <v>43496.416666666664</v>
      </c>
      <c r="N60" s="37">
        <v>43496</v>
      </c>
      <c r="O60" s="38">
        <v>0.33333333333333331</v>
      </c>
      <c r="P60" s="46" t="str">
        <f t="shared" si="3"/>
        <v>DENTRO DO PRAZO</v>
      </c>
      <c r="Q60" s="49">
        <f t="shared" si="4"/>
        <v>43500</v>
      </c>
      <c r="R60" s="37">
        <v>43497</v>
      </c>
      <c r="S60" s="49" t="str">
        <f t="shared" si="5"/>
        <v>FORA DO PRAZO</v>
      </c>
    </row>
    <row r="61" spans="1:19">
      <c r="A61" s="37">
        <v>43495</v>
      </c>
      <c r="B61" s="46">
        <f t="shared" si="0"/>
        <v>1</v>
      </c>
      <c r="C61" s="34" t="s">
        <v>135</v>
      </c>
      <c r="D61" s="33">
        <v>646</v>
      </c>
      <c r="E61" s="35" t="s">
        <v>8</v>
      </c>
      <c r="F61" s="33" t="s">
        <v>17</v>
      </c>
      <c r="G61" s="33" t="s">
        <v>22</v>
      </c>
      <c r="I61" s="47">
        <f>IFERROR(INDEX(TBL_Frete!$A$1:$J$58,MATCH(IF($D61="","",VLOOKUP(D61,TBL_Frete!A:B,2,1)),TBL_Frete!B:B,0),MATCH(BD!E61,TBL_Frete!$A$1:$J$1,0)),"")+H61</f>
        <v>1405.2</v>
      </c>
      <c r="J61" s="47">
        <f t="shared" si="1"/>
        <v>1236.576</v>
      </c>
      <c r="K61" s="36">
        <v>150</v>
      </c>
      <c r="L61" s="47">
        <f t="shared" si="2"/>
        <v>1086.576</v>
      </c>
      <c r="M61" s="44">
        <v>43496.333333333336</v>
      </c>
      <c r="N61" s="37">
        <v>43496</v>
      </c>
      <c r="O61" s="38">
        <v>0.33333333333333331</v>
      </c>
      <c r="P61" s="46" t="str">
        <f t="shared" si="3"/>
        <v>DENTRO DO PRAZO</v>
      </c>
      <c r="Q61" s="49">
        <f t="shared" si="4"/>
        <v>43500</v>
      </c>
      <c r="R61" s="37">
        <v>43496</v>
      </c>
      <c r="S61" s="49" t="str">
        <f t="shared" si="5"/>
        <v>DENTRO DO PRAZO</v>
      </c>
    </row>
    <row r="62" spans="1:19">
      <c r="A62" s="37">
        <v>43496</v>
      </c>
      <c r="B62" s="46">
        <f t="shared" si="0"/>
        <v>1</v>
      </c>
      <c r="C62" s="34">
        <v>2020013100180</v>
      </c>
      <c r="D62" s="33">
        <v>580</v>
      </c>
      <c r="E62" s="35" t="s">
        <v>12</v>
      </c>
      <c r="F62" s="33" t="s">
        <v>17</v>
      </c>
      <c r="G62" s="33" t="s">
        <v>18</v>
      </c>
      <c r="I62" s="47">
        <f>IFERROR(INDEX(TBL_Frete!$A$1:$J$58,MATCH(IF($D62="","",VLOOKUP(D62,TBL_Frete!A:B,2,1)),TBL_Frete!B:B,0),MATCH(BD!E62,TBL_Frete!$A$1:$J$1,0)),"")+H62</f>
        <v>1991.4</v>
      </c>
      <c r="J62" s="47">
        <f t="shared" si="1"/>
        <v>1752.432</v>
      </c>
      <c r="K62" s="36">
        <v>1550</v>
      </c>
      <c r="L62" s="47">
        <f t="shared" si="2"/>
        <v>202.43200000000002</v>
      </c>
      <c r="M62" s="44">
        <v>43497.458333333336</v>
      </c>
      <c r="N62" s="37">
        <v>43497</v>
      </c>
      <c r="O62" s="38">
        <v>0.45833333333333331</v>
      </c>
      <c r="P62" s="46" t="str">
        <f t="shared" si="3"/>
        <v>DENTRO DO PRAZO</v>
      </c>
      <c r="Q62" s="49">
        <f t="shared" si="4"/>
        <v>43500</v>
      </c>
      <c r="R62" s="37">
        <v>43500</v>
      </c>
      <c r="S62" s="49" t="str">
        <f t="shared" si="5"/>
        <v>FORA DO PRAZO</v>
      </c>
    </row>
    <row r="63" spans="1:19">
      <c r="A63" s="37">
        <v>43496</v>
      </c>
      <c r="B63" s="46">
        <f t="shared" si="0"/>
        <v>1</v>
      </c>
      <c r="C63" s="34" t="s">
        <v>136</v>
      </c>
      <c r="D63" s="33">
        <v>646</v>
      </c>
      <c r="E63" s="35" t="s">
        <v>8</v>
      </c>
      <c r="F63" s="33" t="s">
        <v>83</v>
      </c>
      <c r="G63" s="33" t="s">
        <v>22</v>
      </c>
      <c r="H63" s="36">
        <v>72</v>
      </c>
      <c r="I63" s="47">
        <f>IFERROR(INDEX(TBL_Frete!$A$1:$J$58,MATCH(IF($D63="","",VLOOKUP(D63,TBL_Frete!A:B,2,1)),TBL_Frete!B:B,0),MATCH(BD!E63,TBL_Frete!$A$1:$J$1,0)),"")+H63</f>
        <v>1477.2</v>
      </c>
      <c r="J63" s="47">
        <f t="shared" si="1"/>
        <v>1299.9360000000001</v>
      </c>
      <c r="K63" s="36">
        <v>1500</v>
      </c>
      <c r="L63" s="47">
        <f t="shared" si="2"/>
        <v>-200.06399999999985</v>
      </c>
      <c r="M63" s="44">
        <v>43497.333333333336</v>
      </c>
      <c r="N63" s="37">
        <v>43497</v>
      </c>
      <c r="O63" s="38">
        <v>0.39583333333333331</v>
      </c>
      <c r="P63" s="46" t="str">
        <f t="shared" si="3"/>
        <v>FORA DO PRAZO</v>
      </c>
      <c r="Q63" s="49">
        <f t="shared" si="4"/>
        <v>43500</v>
      </c>
      <c r="R63" s="37">
        <v>43502</v>
      </c>
      <c r="S63" s="49" t="str">
        <f t="shared" si="5"/>
        <v>FORA DO PRAZO</v>
      </c>
    </row>
    <row r="64" spans="1:19">
      <c r="A64" s="37">
        <v>43497</v>
      </c>
      <c r="B64" s="46">
        <f t="shared" si="0"/>
        <v>2</v>
      </c>
      <c r="C64" s="34" t="s">
        <v>137</v>
      </c>
      <c r="D64" s="33">
        <v>540</v>
      </c>
      <c r="E64" s="35" t="s">
        <v>8</v>
      </c>
      <c r="F64" s="33" t="s">
        <v>17</v>
      </c>
      <c r="G64" s="33" t="s">
        <v>22</v>
      </c>
      <c r="H64" s="36">
        <v>72</v>
      </c>
      <c r="I64" s="47">
        <f>IFERROR(INDEX(TBL_Frete!$A$1:$J$58,MATCH(IF($D64="","",VLOOKUP(D64,TBL_Frete!A:B,2,1)),TBL_Frete!B:B,0),MATCH(BD!E64,TBL_Frete!$A$1:$J$1,0)),"")+H64</f>
        <v>1289.47</v>
      </c>
      <c r="J64" s="47">
        <f t="shared" si="1"/>
        <v>1134.7336</v>
      </c>
      <c r="K64" s="36">
        <v>900</v>
      </c>
      <c r="L64" s="47">
        <f t="shared" si="2"/>
        <v>234.73360000000002</v>
      </c>
      <c r="M64" s="44">
        <v>43500.375</v>
      </c>
      <c r="N64" s="37">
        <v>43500</v>
      </c>
      <c r="O64" s="38">
        <v>0.47916666666666669</v>
      </c>
      <c r="P64" s="46" t="str">
        <f t="shared" si="3"/>
        <v>FORA DO PRAZO</v>
      </c>
      <c r="Q64" s="49">
        <f t="shared" si="4"/>
        <v>43502</v>
      </c>
      <c r="R64" s="37">
        <v>43501</v>
      </c>
      <c r="S64" s="49" t="str">
        <f t="shared" si="5"/>
        <v>FORA DO PRAZO</v>
      </c>
    </row>
    <row r="65" spans="1:19">
      <c r="A65" s="37">
        <v>43498</v>
      </c>
      <c r="B65" s="46">
        <f t="shared" si="0"/>
        <v>2</v>
      </c>
      <c r="C65" s="34">
        <v>2020020200094</v>
      </c>
      <c r="D65" s="33">
        <v>660</v>
      </c>
      <c r="E65" s="35" t="s">
        <v>12</v>
      </c>
      <c r="F65" s="33" t="s">
        <v>17</v>
      </c>
      <c r="G65" s="33" t="s">
        <v>35</v>
      </c>
      <c r="I65" s="47">
        <f>IFERROR(INDEX(TBL_Frete!$A$1:$J$58,MATCH(IF($D65="","",VLOOKUP(D65,TBL_Frete!A:B,2,1)),TBL_Frete!B:B,0),MATCH(BD!E65,TBL_Frete!$A$1:$J$1,0)),"")+H65</f>
        <v>2197.17</v>
      </c>
      <c r="J65" s="47">
        <f t="shared" si="1"/>
        <v>1933.5096000000001</v>
      </c>
      <c r="K65" s="36">
        <v>1650</v>
      </c>
      <c r="L65" s="47">
        <f t="shared" si="2"/>
        <v>283.50960000000009</v>
      </c>
      <c r="M65" s="44">
        <v>43469.416666666664</v>
      </c>
      <c r="N65" s="37">
        <v>43500</v>
      </c>
      <c r="O65" s="38">
        <v>0.43055555555555558</v>
      </c>
      <c r="P65" s="46" t="str">
        <f t="shared" si="3"/>
        <v>FORA DO PRAZO</v>
      </c>
      <c r="Q65" s="49">
        <f t="shared" si="4"/>
        <v>43502</v>
      </c>
      <c r="R65" s="37">
        <v>43501</v>
      </c>
      <c r="S65" s="49" t="str">
        <f t="shared" si="5"/>
        <v>FORA DO PRAZO</v>
      </c>
    </row>
    <row r="66" spans="1:19">
      <c r="A66" s="37">
        <v>43500</v>
      </c>
      <c r="B66" s="46">
        <f t="shared" ref="B66:B129" si="6">MONTH(A66)</f>
        <v>2</v>
      </c>
      <c r="C66" s="34">
        <v>2020020200144</v>
      </c>
      <c r="D66" s="33">
        <v>985</v>
      </c>
      <c r="E66" s="35" t="s">
        <v>10</v>
      </c>
      <c r="F66" s="33" t="s">
        <v>17</v>
      </c>
      <c r="G66" s="33" t="s">
        <v>66</v>
      </c>
      <c r="H66" s="36">
        <v>144</v>
      </c>
      <c r="I66" s="47">
        <f>IFERROR(INDEX(TBL_Frete!$A$1:$J$58,MATCH(IF($D66="","",VLOOKUP(D66,TBL_Frete!A:B,2,1)),TBL_Frete!B:B,0),MATCH(BD!E66,TBL_Frete!$A$1:$J$1,0)),"")+H66</f>
        <v>2915.94</v>
      </c>
      <c r="J66" s="47">
        <f t="shared" si="1"/>
        <v>2566.0272</v>
      </c>
      <c r="K66" s="36">
        <v>1950</v>
      </c>
      <c r="L66" s="47">
        <f t="shared" si="2"/>
        <v>616.02719999999999</v>
      </c>
      <c r="M66" s="44">
        <v>43501.333333333336</v>
      </c>
      <c r="N66" s="37">
        <v>43501</v>
      </c>
      <c r="O66" s="38">
        <v>0.33333333333333331</v>
      </c>
      <c r="P66" s="46" t="str">
        <f t="shared" si="3"/>
        <v>DENTRO DO PRAZO</v>
      </c>
      <c r="Q66" s="49">
        <f t="shared" si="4"/>
        <v>43503</v>
      </c>
      <c r="R66" s="37">
        <v>43501</v>
      </c>
      <c r="S66" s="49" t="str">
        <f t="shared" si="5"/>
        <v>DENTRO DO PRAZO</v>
      </c>
    </row>
    <row r="67" spans="1:19">
      <c r="A67" s="37">
        <v>43501</v>
      </c>
      <c r="B67" s="46">
        <f t="shared" si="6"/>
        <v>2</v>
      </c>
      <c r="C67" s="34">
        <v>2020020500159</v>
      </c>
      <c r="D67" s="33">
        <v>748</v>
      </c>
      <c r="E67" s="35" t="s">
        <v>10</v>
      </c>
      <c r="F67" s="33" t="s">
        <v>17</v>
      </c>
      <c r="G67" s="33" t="s">
        <v>67</v>
      </c>
      <c r="I67" s="47">
        <f>IFERROR(INDEX(TBL_Frete!$A$1:$J$58,MATCH(IF($D67="","",VLOOKUP(D67,TBL_Frete!A:B,2,1)),TBL_Frete!B:B,0),MATCH(BD!E67,TBL_Frete!$A$1:$J$1,0)),"")+H67</f>
        <v>1785</v>
      </c>
      <c r="J67" s="47">
        <f t="shared" ref="J67:J130" si="7">(I67-(I67*12%))</f>
        <v>1570.8</v>
      </c>
      <c r="K67" s="36">
        <v>1150</v>
      </c>
      <c r="L67" s="47">
        <f t="shared" ref="L67:L112" si="8">J67-K67</f>
        <v>420.79999999999995</v>
      </c>
      <c r="M67" s="44">
        <v>43502.5</v>
      </c>
      <c r="N67" s="37">
        <v>43502</v>
      </c>
      <c r="O67" s="38">
        <v>0.54166666666666663</v>
      </c>
      <c r="P67" s="46" t="str">
        <f t="shared" ref="P67:P112" si="9">IF(AND(M67&lt;&gt;"",SUM(N67,O67)=""),"EM ROTA",IF(M67="","",IF(SUM(N67,O67)&gt;M67,"FORA DO PRAZO","DENTRO DO PRAZO")))</f>
        <v>FORA DO PRAZO</v>
      </c>
      <c r="Q67" s="49">
        <f t="shared" ref="Q67:Q130" si="10">IF(WEEKDAY(N67+2,1)=7,N67+4,IF(WEEKDAY(N67+2)=1,N67+3,N67+2))</f>
        <v>43504</v>
      </c>
      <c r="R67" s="37">
        <v>43503</v>
      </c>
      <c r="S67" s="49" t="str">
        <f t="shared" ref="S67:S130" si="11">IF(R67&gt;SUM(N67,O67),"FORA DO PRAZO","DENTRO DO PRAZO")</f>
        <v>FORA DO PRAZO</v>
      </c>
    </row>
    <row r="68" spans="1:19">
      <c r="A68" s="37">
        <v>43501</v>
      </c>
      <c r="B68" s="46">
        <f t="shared" si="6"/>
        <v>2</v>
      </c>
      <c r="C68" s="34" t="s">
        <v>138</v>
      </c>
      <c r="D68" s="33">
        <v>663</v>
      </c>
      <c r="E68" s="35" t="s">
        <v>8</v>
      </c>
      <c r="F68" s="33" t="s">
        <v>17</v>
      </c>
      <c r="G68" s="33" t="s">
        <v>68</v>
      </c>
      <c r="I68" s="47">
        <f>IFERROR(INDEX(TBL_Frete!$A$1:$J$58,MATCH(IF($D68="","",VLOOKUP(D68,TBL_Frete!A:B,2,1)),TBL_Frete!B:B,0),MATCH(BD!E68,TBL_Frete!$A$1:$J$1,0)),"")+H68</f>
        <v>1478.8</v>
      </c>
      <c r="J68" s="47">
        <f t="shared" si="7"/>
        <v>1301.3440000000001</v>
      </c>
      <c r="K68" s="36">
        <v>1050</v>
      </c>
      <c r="L68" s="47">
        <f t="shared" si="8"/>
        <v>251.34400000000005</v>
      </c>
      <c r="M68" s="44">
        <v>43501.666666666664</v>
      </c>
      <c r="N68" s="37">
        <v>43502</v>
      </c>
      <c r="O68" s="38">
        <v>0.375</v>
      </c>
      <c r="P68" s="46" t="str">
        <f t="shared" si="9"/>
        <v>FORA DO PRAZO</v>
      </c>
      <c r="Q68" s="49">
        <f t="shared" si="10"/>
        <v>43504</v>
      </c>
      <c r="R68" s="37">
        <v>43503</v>
      </c>
      <c r="S68" s="49" t="str">
        <f t="shared" si="11"/>
        <v>FORA DO PRAZO</v>
      </c>
    </row>
    <row r="69" spans="1:19">
      <c r="A69" s="37">
        <v>43501</v>
      </c>
      <c r="B69" s="46">
        <f t="shared" si="6"/>
        <v>2</v>
      </c>
      <c r="C69" s="34" t="s">
        <v>139</v>
      </c>
      <c r="D69" s="33">
        <v>610</v>
      </c>
      <c r="E69" s="35" t="s">
        <v>12</v>
      </c>
      <c r="F69" s="33" t="s">
        <v>17</v>
      </c>
      <c r="G69" s="33" t="s">
        <v>22</v>
      </c>
      <c r="H69" s="36">
        <v>432</v>
      </c>
      <c r="I69" s="47">
        <f>IFERROR(INDEX(TBL_Frete!$A$1:$J$58,MATCH(IF($D69="","",VLOOKUP(D69,TBL_Frete!A:B,2,1)),TBL_Frete!B:B,0),MATCH(BD!E69,TBL_Frete!$A$1:$J$1,0)),"")+H69</f>
        <v>2582.4</v>
      </c>
      <c r="J69" s="47">
        <f t="shared" si="7"/>
        <v>2272.5120000000002</v>
      </c>
      <c r="K69" s="36">
        <v>2000</v>
      </c>
      <c r="L69" s="47">
        <f t="shared" si="8"/>
        <v>272.51200000000017</v>
      </c>
      <c r="M69" s="44">
        <v>43502.333333333336</v>
      </c>
      <c r="N69" s="37">
        <v>43502</v>
      </c>
      <c r="O69" s="38">
        <v>0.39583333333333331</v>
      </c>
      <c r="P69" s="46" t="str">
        <f t="shared" si="9"/>
        <v>FORA DO PRAZO</v>
      </c>
      <c r="Q69" s="49">
        <f t="shared" si="10"/>
        <v>43504</v>
      </c>
      <c r="R69" s="37">
        <v>43503</v>
      </c>
      <c r="S69" s="49" t="str">
        <f t="shared" si="11"/>
        <v>FORA DO PRAZO</v>
      </c>
    </row>
    <row r="70" spans="1:19">
      <c r="A70" s="37">
        <v>43502</v>
      </c>
      <c r="B70" s="46">
        <f t="shared" si="6"/>
        <v>2</v>
      </c>
      <c r="C70" s="34">
        <v>2020020500045</v>
      </c>
      <c r="D70" s="33">
        <v>682</v>
      </c>
      <c r="E70" s="35" t="s">
        <v>15</v>
      </c>
      <c r="F70" s="33" t="s">
        <v>17</v>
      </c>
      <c r="G70" s="33" t="s">
        <v>69</v>
      </c>
      <c r="I70" s="47">
        <f>IFERROR(INDEX(TBL_Frete!$A$1:$J$58,MATCH(IF($D70="","",VLOOKUP(D70,TBL_Frete!A:B,2,1)),TBL_Frete!B:B,0),MATCH(BD!E70,TBL_Frete!$A$1:$J$1,0)),"")+H70</f>
        <v>3934.88</v>
      </c>
      <c r="J70" s="47">
        <f t="shared" si="7"/>
        <v>3462.6944000000003</v>
      </c>
      <c r="K70" s="36">
        <v>3550</v>
      </c>
      <c r="L70" s="47">
        <f t="shared" si="8"/>
        <v>-87.305599999999686</v>
      </c>
      <c r="M70" s="44">
        <v>43503.375</v>
      </c>
      <c r="N70" s="37">
        <v>43503</v>
      </c>
      <c r="O70" s="38">
        <v>0.4375</v>
      </c>
      <c r="P70" s="46" t="str">
        <f t="shared" si="9"/>
        <v>FORA DO PRAZO</v>
      </c>
      <c r="Q70" s="49">
        <f t="shared" si="10"/>
        <v>43507</v>
      </c>
      <c r="R70" s="37">
        <v>43504</v>
      </c>
      <c r="S70" s="49" t="str">
        <f t="shared" si="11"/>
        <v>FORA DO PRAZO</v>
      </c>
    </row>
    <row r="71" spans="1:19">
      <c r="A71" s="37">
        <v>43502</v>
      </c>
      <c r="B71" s="46">
        <f t="shared" si="6"/>
        <v>2</v>
      </c>
      <c r="C71" s="34" t="s">
        <v>140</v>
      </c>
      <c r="D71" s="33">
        <v>540</v>
      </c>
      <c r="E71" s="35" t="s">
        <v>8</v>
      </c>
      <c r="F71" s="33" t="s">
        <v>17</v>
      </c>
      <c r="G71" s="33" t="s">
        <v>22</v>
      </c>
      <c r="I71" s="47">
        <f>IFERROR(INDEX(TBL_Frete!$A$1:$J$58,MATCH(IF($D71="","",VLOOKUP(D71,TBL_Frete!A:B,2,1)),TBL_Frete!B:B,0),MATCH(BD!E71,TBL_Frete!$A$1:$J$1,0)),"")+H71</f>
        <v>1217.47</v>
      </c>
      <c r="J71" s="47">
        <f t="shared" si="7"/>
        <v>1071.3736000000001</v>
      </c>
      <c r="K71" s="36">
        <v>900</v>
      </c>
      <c r="L71" s="47">
        <f t="shared" si="8"/>
        <v>171.37360000000012</v>
      </c>
      <c r="M71" s="44">
        <v>43503.375</v>
      </c>
      <c r="N71" s="37">
        <v>43503</v>
      </c>
      <c r="O71" s="38">
        <v>0.41666666666666669</v>
      </c>
      <c r="P71" s="46" t="str">
        <f t="shared" si="9"/>
        <v>FORA DO PRAZO</v>
      </c>
      <c r="Q71" s="49">
        <f t="shared" si="10"/>
        <v>43507</v>
      </c>
      <c r="R71" s="37">
        <v>43503</v>
      </c>
      <c r="S71" s="49" t="str">
        <f t="shared" si="11"/>
        <v>DENTRO DO PRAZO</v>
      </c>
    </row>
    <row r="72" spans="1:19">
      <c r="A72" s="37">
        <v>43502</v>
      </c>
      <c r="B72" s="46">
        <f t="shared" si="6"/>
        <v>2</v>
      </c>
      <c r="C72" s="34" t="s">
        <v>141</v>
      </c>
      <c r="D72" s="33">
        <v>769</v>
      </c>
      <c r="E72" s="35" t="s">
        <v>8</v>
      </c>
      <c r="F72" s="33" t="s">
        <v>17</v>
      </c>
      <c r="G72" s="33" t="s">
        <v>27</v>
      </c>
      <c r="I72" s="47">
        <f>IFERROR(INDEX(TBL_Frete!$A$1:$J$58,MATCH(IF($D72="","",VLOOKUP(D72,TBL_Frete!A:B,2,1)),TBL_Frete!B:B,0),MATCH(BD!E72,TBL_Frete!$A$1:$J$1,0)),"")+H72</f>
        <v>1661.4652074999999</v>
      </c>
      <c r="J72" s="47">
        <f t="shared" si="7"/>
        <v>1462.0893825999999</v>
      </c>
      <c r="K72" s="36">
        <v>800</v>
      </c>
      <c r="L72" s="47">
        <f t="shared" si="8"/>
        <v>662.08938259999991</v>
      </c>
      <c r="M72" s="44">
        <v>43503.333333333336</v>
      </c>
      <c r="N72" s="37">
        <v>43503</v>
      </c>
      <c r="O72" s="38">
        <v>0.27083333333333331</v>
      </c>
      <c r="P72" s="46" t="str">
        <f t="shared" si="9"/>
        <v>DENTRO DO PRAZO</v>
      </c>
      <c r="Q72" s="49">
        <f t="shared" si="10"/>
        <v>43507</v>
      </c>
      <c r="R72" s="37">
        <v>43503</v>
      </c>
      <c r="S72" s="49" t="str">
        <f t="shared" si="11"/>
        <v>DENTRO DO PRAZO</v>
      </c>
    </row>
    <row r="73" spans="1:19">
      <c r="A73" s="37">
        <v>43503</v>
      </c>
      <c r="B73" s="46">
        <f t="shared" si="6"/>
        <v>2</v>
      </c>
      <c r="C73" s="34" t="s">
        <v>142</v>
      </c>
      <c r="D73" s="33">
        <v>540</v>
      </c>
      <c r="E73" s="35" t="s">
        <v>8</v>
      </c>
      <c r="F73" s="33" t="s">
        <v>17</v>
      </c>
      <c r="G73" s="33" t="s">
        <v>22</v>
      </c>
      <c r="I73" s="47">
        <f>IFERROR(INDEX(TBL_Frete!$A$1:$J$58,MATCH(IF($D73="","",VLOOKUP(D73,TBL_Frete!A:B,2,1)),TBL_Frete!B:B,0),MATCH(BD!E73,TBL_Frete!$A$1:$J$1,0)),"")+H73</f>
        <v>1217.47</v>
      </c>
      <c r="J73" s="47">
        <f t="shared" si="7"/>
        <v>1071.3736000000001</v>
      </c>
      <c r="K73" s="36">
        <v>900</v>
      </c>
      <c r="L73" s="47">
        <f t="shared" si="8"/>
        <v>171.37360000000012</v>
      </c>
      <c r="M73" s="44">
        <v>43504.333333333336</v>
      </c>
      <c r="N73" s="37">
        <v>43504</v>
      </c>
      <c r="O73" s="38">
        <v>0.375</v>
      </c>
      <c r="P73" s="46" t="str">
        <f t="shared" si="9"/>
        <v>FORA DO PRAZO</v>
      </c>
      <c r="Q73" s="49">
        <f t="shared" si="10"/>
        <v>43507</v>
      </c>
      <c r="R73" s="37">
        <v>43504</v>
      </c>
      <c r="S73" s="49" t="str">
        <f t="shared" si="11"/>
        <v>DENTRO DO PRAZO</v>
      </c>
    </row>
    <row r="74" spans="1:19">
      <c r="A74" s="37">
        <v>43504</v>
      </c>
      <c r="B74" s="46">
        <f t="shared" si="6"/>
        <v>2</v>
      </c>
      <c r="C74" s="34">
        <v>2020020800036</v>
      </c>
      <c r="D74" s="33">
        <v>682</v>
      </c>
      <c r="E74" s="35" t="s">
        <v>15</v>
      </c>
      <c r="F74" s="33" t="s">
        <v>17</v>
      </c>
      <c r="G74" s="33" t="s">
        <v>69</v>
      </c>
      <c r="I74" s="47">
        <f>IFERROR(INDEX(TBL_Frete!$A$1:$J$58,MATCH(IF($D74="","",VLOOKUP(D74,TBL_Frete!A:B,2,1)),TBL_Frete!B:B,0),MATCH(BD!E74,TBL_Frete!$A$1:$J$1,0)),"")+H74</f>
        <v>3934.88</v>
      </c>
      <c r="J74" s="47">
        <f t="shared" si="7"/>
        <v>3462.6944000000003</v>
      </c>
      <c r="K74" s="36">
        <v>3250</v>
      </c>
      <c r="L74" s="47">
        <f t="shared" si="8"/>
        <v>212.69440000000031</v>
      </c>
      <c r="M74" s="44">
        <v>43507.333333333336</v>
      </c>
      <c r="N74" s="37">
        <v>43507</v>
      </c>
      <c r="O74" s="38">
        <v>0.375</v>
      </c>
      <c r="P74" s="46" t="str">
        <f t="shared" si="9"/>
        <v>FORA DO PRAZO</v>
      </c>
      <c r="Q74" s="49">
        <f t="shared" si="10"/>
        <v>43509</v>
      </c>
      <c r="R74" s="37">
        <v>43507</v>
      </c>
      <c r="S74" s="49" t="str">
        <f t="shared" si="11"/>
        <v>DENTRO DO PRAZO</v>
      </c>
    </row>
    <row r="75" spans="1:19">
      <c r="A75" s="37">
        <v>43505</v>
      </c>
      <c r="B75" s="46">
        <f t="shared" si="6"/>
        <v>2</v>
      </c>
      <c r="C75" s="34">
        <v>2020020900031</v>
      </c>
      <c r="D75" s="33">
        <v>682</v>
      </c>
      <c r="E75" s="35" t="s">
        <v>15</v>
      </c>
      <c r="F75" s="33" t="s">
        <v>17</v>
      </c>
      <c r="G75" s="33" t="s">
        <v>69</v>
      </c>
      <c r="I75" s="47">
        <f>IFERROR(INDEX(TBL_Frete!$A$1:$J$58,MATCH(IF($D75="","",VLOOKUP(D75,TBL_Frete!A:B,2,1)),TBL_Frete!B:B,0),MATCH(BD!E75,TBL_Frete!$A$1:$J$1,0)),"")+H75</f>
        <v>3934.88</v>
      </c>
      <c r="J75" s="47">
        <f t="shared" si="7"/>
        <v>3462.6944000000003</v>
      </c>
      <c r="K75" s="36">
        <v>3250</v>
      </c>
      <c r="L75" s="47">
        <f t="shared" si="8"/>
        <v>212.69440000000031</v>
      </c>
      <c r="M75" s="44">
        <v>43507.333333333336</v>
      </c>
      <c r="N75" s="37">
        <v>43507</v>
      </c>
      <c r="O75" s="38">
        <v>0.3888888888888889</v>
      </c>
      <c r="P75" s="46" t="str">
        <f t="shared" si="9"/>
        <v>FORA DO PRAZO</v>
      </c>
      <c r="Q75" s="49">
        <f t="shared" si="10"/>
        <v>43509</v>
      </c>
      <c r="R75" s="37">
        <v>43518</v>
      </c>
      <c r="S75" s="49" t="str">
        <f t="shared" si="11"/>
        <v>FORA DO PRAZO</v>
      </c>
    </row>
    <row r="76" spans="1:19">
      <c r="A76" s="37">
        <v>43505</v>
      </c>
      <c r="B76" s="46">
        <f t="shared" si="6"/>
        <v>2</v>
      </c>
      <c r="C76" s="34">
        <v>2020020800059</v>
      </c>
      <c r="D76" s="33">
        <v>362</v>
      </c>
      <c r="E76" s="35" t="s">
        <v>12</v>
      </c>
      <c r="F76" s="33" t="s">
        <v>17</v>
      </c>
      <c r="G76" s="33" t="s">
        <v>72</v>
      </c>
      <c r="I76" s="47">
        <f>IFERROR(INDEX(TBL_Frete!$A$1:$J$58,MATCH(IF($D76="","",VLOOKUP(D76,TBL_Frete!A:B,2,1)),TBL_Frete!B:B,0),MATCH(BD!E76,TBL_Frete!$A$1:$J$1,0)),"")+H76</f>
        <v>1576.98</v>
      </c>
      <c r="J76" s="47">
        <f t="shared" si="7"/>
        <v>1387.7424000000001</v>
      </c>
      <c r="K76" s="36">
        <v>1150</v>
      </c>
      <c r="L76" s="47">
        <f t="shared" si="8"/>
        <v>237.74240000000009</v>
      </c>
      <c r="M76" s="44">
        <v>43507.541666666664</v>
      </c>
      <c r="N76" s="37">
        <v>43507</v>
      </c>
      <c r="O76" s="38">
        <v>0.54166666666666663</v>
      </c>
      <c r="P76" s="46" t="str">
        <f t="shared" si="9"/>
        <v>DENTRO DO PRAZO</v>
      </c>
      <c r="Q76" s="49">
        <f t="shared" si="10"/>
        <v>43509</v>
      </c>
      <c r="R76" s="37">
        <v>43508</v>
      </c>
      <c r="S76" s="49" t="str">
        <f t="shared" si="11"/>
        <v>FORA DO PRAZO</v>
      </c>
    </row>
    <row r="77" spans="1:19">
      <c r="A77" s="37">
        <v>43505</v>
      </c>
      <c r="B77" s="46">
        <f t="shared" si="6"/>
        <v>2</v>
      </c>
      <c r="C77" s="34">
        <v>2020020800060</v>
      </c>
      <c r="D77" s="33">
        <v>659</v>
      </c>
      <c r="E77" s="35" t="s">
        <v>12</v>
      </c>
      <c r="F77" s="33" t="s">
        <v>17</v>
      </c>
      <c r="G77" s="33" t="s">
        <v>73</v>
      </c>
      <c r="H77" s="36">
        <v>72</v>
      </c>
      <c r="I77" s="47">
        <f>IFERROR(INDEX(TBL_Frete!$A$1:$J$58,MATCH(IF($D77="","",VLOOKUP(D77,TBL_Frete!A:B,2,1)),TBL_Frete!B:B,0),MATCH(BD!E77,TBL_Frete!$A$1:$J$1,0)),"")+H77</f>
        <v>2269.17</v>
      </c>
      <c r="J77" s="47">
        <f t="shared" si="7"/>
        <v>1996.8696</v>
      </c>
      <c r="K77" s="36">
        <v>1800</v>
      </c>
      <c r="L77" s="47">
        <f t="shared" si="8"/>
        <v>196.86959999999999</v>
      </c>
      <c r="M77" s="44">
        <v>43507.666666666664</v>
      </c>
      <c r="N77" s="37">
        <v>43507</v>
      </c>
      <c r="O77" s="38">
        <v>0.33333333333333331</v>
      </c>
      <c r="P77" s="46" t="str">
        <f t="shared" si="9"/>
        <v>DENTRO DO PRAZO</v>
      </c>
      <c r="Q77" s="49">
        <f t="shared" si="10"/>
        <v>43509</v>
      </c>
      <c r="R77" s="37">
        <v>43508</v>
      </c>
      <c r="S77" s="49" t="str">
        <f t="shared" si="11"/>
        <v>FORA DO PRAZO</v>
      </c>
    </row>
    <row r="78" spans="1:19">
      <c r="A78" s="37">
        <v>43507</v>
      </c>
      <c r="B78" s="46">
        <f t="shared" si="6"/>
        <v>2</v>
      </c>
      <c r="C78" s="34">
        <v>2020020900137</v>
      </c>
      <c r="D78" s="33">
        <v>581</v>
      </c>
      <c r="E78" s="35" t="s">
        <v>13</v>
      </c>
      <c r="F78" s="33" t="s">
        <v>17</v>
      </c>
      <c r="G78" s="33" t="s">
        <v>18</v>
      </c>
      <c r="I78" s="47">
        <f>IFERROR(INDEX(TBL_Frete!$A$1:$J$58,MATCH(IF($D78="","",VLOOKUP(D78,TBL_Frete!A:B,2,1)),TBL_Frete!B:B,0),MATCH(BD!E78,TBL_Frete!$A$1:$J$1,0)),"")+H78</f>
        <v>2512.19</v>
      </c>
      <c r="J78" s="47">
        <f t="shared" si="7"/>
        <v>2210.7272000000003</v>
      </c>
      <c r="K78" s="36">
        <v>2000</v>
      </c>
      <c r="L78" s="47">
        <f t="shared" si="8"/>
        <v>210.72720000000027</v>
      </c>
      <c r="M78" s="44">
        <v>43508.458333333336</v>
      </c>
      <c r="N78" s="37">
        <v>43508</v>
      </c>
      <c r="O78" s="38">
        <v>0.4375</v>
      </c>
      <c r="P78" s="46" t="str">
        <f t="shared" si="9"/>
        <v>DENTRO DO PRAZO</v>
      </c>
      <c r="Q78" s="49">
        <f t="shared" si="10"/>
        <v>43510</v>
      </c>
      <c r="R78" s="37">
        <v>43509</v>
      </c>
      <c r="S78" s="49" t="str">
        <f t="shared" si="11"/>
        <v>FORA DO PRAZO</v>
      </c>
    </row>
    <row r="79" spans="1:19">
      <c r="A79" s="37">
        <v>43508</v>
      </c>
      <c r="B79" s="46">
        <f t="shared" si="6"/>
        <v>2</v>
      </c>
      <c r="C79" s="34" t="s">
        <v>143</v>
      </c>
      <c r="D79" s="33">
        <v>540</v>
      </c>
      <c r="E79" s="35" t="s">
        <v>8</v>
      </c>
      <c r="F79" s="33" t="s">
        <v>17</v>
      </c>
      <c r="G79" s="33" t="s">
        <v>22</v>
      </c>
      <c r="I79" s="47">
        <f>IFERROR(INDEX(TBL_Frete!$A$1:$J$58,MATCH(IF($D79="","",VLOOKUP(D79,TBL_Frete!A:B,2,1)),TBL_Frete!B:B,0),MATCH(BD!E79,TBL_Frete!$A$1:$J$1,0)),"")+H79</f>
        <v>1217.47</v>
      </c>
      <c r="J79" s="47">
        <f t="shared" si="7"/>
        <v>1071.3736000000001</v>
      </c>
      <c r="K79" s="36">
        <v>900</v>
      </c>
      <c r="L79" s="47">
        <f t="shared" si="8"/>
        <v>171.37360000000012</v>
      </c>
      <c r="M79" s="44">
        <v>43509.333333333336</v>
      </c>
      <c r="N79" s="37">
        <v>43508</v>
      </c>
      <c r="O79" s="38">
        <v>0.97222222222222221</v>
      </c>
      <c r="P79" s="46" t="str">
        <f t="shared" si="9"/>
        <v>DENTRO DO PRAZO</v>
      </c>
      <c r="Q79" s="49">
        <f t="shared" si="10"/>
        <v>43510</v>
      </c>
      <c r="R79" s="37">
        <v>43509</v>
      </c>
      <c r="S79" s="49" t="str">
        <f t="shared" si="11"/>
        <v>FORA DO PRAZO</v>
      </c>
    </row>
    <row r="80" spans="1:19">
      <c r="A80" s="37">
        <v>43508</v>
      </c>
      <c r="B80" s="46">
        <f t="shared" si="6"/>
        <v>2</v>
      </c>
      <c r="C80" s="34" t="s">
        <v>144</v>
      </c>
      <c r="D80" s="33">
        <v>822</v>
      </c>
      <c r="E80" s="35" t="s">
        <v>10</v>
      </c>
      <c r="F80" s="33" t="s">
        <v>17</v>
      </c>
      <c r="G80" s="33" t="s">
        <v>29</v>
      </c>
      <c r="H80" s="36">
        <v>144</v>
      </c>
      <c r="I80" s="47">
        <f>IFERROR(INDEX(TBL_Frete!$A$1:$J$58,MATCH(IF($D80="","",VLOOKUP(D80,TBL_Frete!A:B,2,1)),TBL_Frete!B:B,0),MATCH(BD!E80,TBL_Frete!$A$1:$J$1,0)),"")+H80</f>
        <v>2129</v>
      </c>
      <c r="J80" s="47">
        <f t="shared" si="7"/>
        <v>1873.52</v>
      </c>
      <c r="K80" s="36">
        <v>1650</v>
      </c>
      <c r="L80" s="47">
        <f t="shared" si="8"/>
        <v>223.51999999999998</v>
      </c>
      <c r="M80" s="44">
        <v>43509.333333333336</v>
      </c>
      <c r="N80" s="37">
        <v>43509</v>
      </c>
      <c r="O80" s="38">
        <v>0.33333333333333331</v>
      </c>
      <c r="P80" s="46" t="str">
        <f t="shared" si="9"/>
        <v>DENTRO DO PRAZO</v>
      </c>
      <c r="Q80" s="49">
        <f t="shared" si="10"/>
        <v>43511</v>
      </c>
      <c r="R80" s="37">
        <v>43511</v>
      </c>
      <c r="S80" s="49" t="str">
        <f t="shared" si="11"/>
        <v>FORA DO PRAZO</v>
      </c>
    </row>
    <row r="81" spans="1:19">
      <c r="A81" s="37">
        <v>43508</v>
      </c>
      <c r="B81" s="46">
        <f t="shared" si="6"/>
        <v>2</v>
      </c>
      <c r="C81" s="34" t="s">
        <v>145</v>
      </c>
      <c r="D81" s="33">
        <v>348</v>
      </c>
      <c r="E81" s="35" t="s">
        <v>8</v>
      </c>
      <c r="F81" s="33" t="s">
        <v>17</v>
      </c>
      <c r="G81" s="33" t="s">
        <v>74</v>
      </c>
      <c r="I81" s="47">
        <f>IFERROR(INDEX(TBL_Frete!$A$1:$J$58,MATCH(IF($D81="","",VLOOKUP(D81,TBL_Frete!A:B,2,1)),TBL_Frete!B:B,0),MATCH(BD!E81,TBL_Frete!$A$1:$J$1,0)),"")+H81</f>
        <v>1019.81</v>
      </c>
      <c r="J81" s="47">
        <f t="shared" si="7"/>
        <v>897.43279999999993</v>
      </c>
      <c r="K81" s="36">
        <v>700</v>
      </c>
      <c r="L81" s="47">
        <f t="shared" si="8"/>
        <v>197.43279999999993</v>
      </c>
      <c r="M81" s="44">
        <v>43509.375</v>
      </c>
      <c r="N81" s="37">
        <v>43509</v>
      </c>
      <c r="O81" s="38">
        <v>0.33333333333333331</v>
      </c>
      <c r="P81" s="46" t="str">
        <f t="shared" si="9"/>
        <v>DENTRO DO PRAZO</v>
      </c>
      <c r="Q81" s="49">
        <f t="shared" si="10"/>
        <v>43511</v>
      </c>
      <c r="R81" s="37">
        <v>43509</v>
      </c>
      <c r="S81" s="49" t="str">
        <f t="shared" si="11"/>
        <v>DENTRO DO PRAZO</v>
      </c>
    </row>
    <row r="82" spans="1:19">
      <c r="A82" s="37">
        <v>43509</v>
      </c>
      <c r="B82" s="46">
        <f t="shared" si="6"/>
        <v>2</v>
      </c>
      <c r="C82" s="34">
        <v>2020021300487</v>
      </c>
      <c r="D82" s="33">
        <v>540</v>
      </c>
      <c r="E82" s="35" t="s">
        <v>8</v>
      </c>
      <c r="F82" s="33" t="s">
        <v>17</v>
      </c>
      <c r="G82" s="33" t="s">
        <v>22</v>
      </c>
      <c r="I82" s="47">
        <f>IFERROR(INDEX(TBL_Frete!$A$1:$J$58,MATCH(IF($D82="","",VLOOKUP(D82,TBL_Frete!A:B,2,1)),TBL_Frete!B:B,0),MATCH(BD!E82,TBL_Frete!$A$1:$J$1,0)),"")+H82</f>
        <v>1217.47</v>
      </c>
      <c r="J82" s="47">
        <f t="shared" si="7"/>
        <v>1071.3736000000001</v>
      </c>
      <c r="K82" s="36">
        <v>900</v>
      </c>
      <c r="L82" s="47">
        <f t="shared" si="8"/>
        <v>171.37360000000012</v>
      </c>
      <c r="M82" s="44">
        <v>43510.375</v>
      </c>
      <c r="N82" s="37">
        <v>43510</v>
      </c>
      <c r="O82" s="38">
        <v>0.33333333333333331</v>
      </c>
      <c r="P82" s="46" t="str">
        <f t="shared" si="9"/>
        <v>DENTRO DO PRAZO</v>
      </c>
      <c r="Q82" s="49">
        <f t="shared" si="10"/>
        <v>43514</v>
      </c>
      <c r="R82" s="37">
        <v>43510</v>
      </c>
      <c r="S82" s="49" t="str">
        <f t="shared" si="11"/>
        <v>DENTRO DO PRAZO</v>
      </c>
    </row>
    <row r="83" spans="1:19">
      <c r="A83" s="37">
        <v>43509</v>
      </c>
      <c r="B83" s="46">
        <f t="shared" si="6"/>
        <v>2</v>
      </c>
      <c r="C83" s="34">
        <v>2020021200221</v>
      </c>
      <c r="D83" s="33">
        <v>581</v>
      </c>
      <c r="E83" s="35" t="s">
        <v>15</v>
      </c>
      <c r="F83" s="33" t="s">
        <v>17</v>
      </c>
      <c r="G83" s="33" t="s">
        <v>18</v>
      </c>
      <c r="I83" s="47">
        <f>IFERROR(INDEX(TBL_Frete!$A$1:$J$58,MATCH(IF($D83="","",VLOOKUP(D83,TBL_Frete!A:B,2,1)),TBL_Frete!B:B,0),MATCH(BD!E83,TBL_Frete!$A$1:$J$1,0)),"")+H83</f>
        <v>3525.5</v>
      </c>
      <c r="J83" s="47">
        <f t="shared" si="7"/>
        <v>3102.44</v>
      </c>
      <c r="K83" s="36">
        <v>2950</v>
      </c>
      <c r="L83" s="47">
        <f t="shared" si="8"/>
        <v>152.44000000000005</v>
      </c>
      <c r="M83" s="44">
        <v>43510.416666666664</v>
      </c>
      <c r="N83" s="37">
        <v>43510</v>
      </c>
      <c r="O83" s="38">
        <v>0.375</v>
      </c>
      <c r="P83" s="46" t="str">
        <f t="shared" si="9"/>
        <v>DENTRO DO PRAZO</v>
      </c>
      <c r="Q83" s="49">
        <f t="shared" si="10"/>
        <v>43514</v>
      </c>
      <c r="R83" s="37">
        <v>43518</v>
      </c>
      <c r="S83" s="49" t="str">
        <f t="shared" si="11"/>
        <v>FORA DO PRAZO</v>
      </c>
    </row>
    <row r="84" spans="1:19">
      <c r="A84" s="37">
        <v>43509</v>
      </c>
      <c r="B84" s="46">
        <f t="shared" si="6"/>
        <v>2</v>
      </c>
      <c r="C84" s="34">
        <v>2020021200221</v>
      </c>
      <c r="D84" s="33">
        <v>581</v>
      </c>
      <c r="E84" s="35" t="s">
        <v>15</v>
      </c>
      <c r="F84" s="33" t="s">
        <v>17</v>
      </c>
      <c r="G84" s="33" t="s">
        <v>18</v>
      </c>
      <c r="I84" s="47">
        <f>IFERROR(INDEX(TBL_Frete!$A$1:$J$58,MATCH(IF($D84="","",VLOOKUP(D84,TBL_Frete!A:B,2,1)),TBL_Frete!B:B,0),MATCH(BD!E84,TBL_Frete!$A$1:$J$1,0)),"")+H84</f>
        <v>3525.5</v>
      </c>
      <c r="J84" s="47">
        <f t="shared" si="7"/>
        <v>3102.44</v>
      </c>
      <c r="K84" s="36">
        <v>2850</v>
      </c>
      <c r="L84" s="47">
        <f t="shared" si="8"/>
        <v>252.44000000000005</v>
      </c>
      <c r="M84" s="44">
        <v>43479.416666666664</v>
      </c>
      <c r="N84" s="37">
        <v>43510</v>
      </c>
      <c r="O84" s="38">
        <v>0.45833333333333331</v>
      </c>
      <c r="P84" s="46" t="str">
        <f t="shared" si="9"/>
        <v>FORA DO PRAZO</v>
      </c>
      <c r="Q84" s="49">
        <f t="shared" si="10"/>
        <v>43514</v>
      </c>
      <c r="R84" s="37">
        <v>43518</v>
      </c>
      <c r="S84" s="49" t="str">
        <f t="shared" si="11"/>
        <v>FORA DO PRAZO</v>
      </c>
    </row>
    <row r="85" spans="1:19">
      <c r="A85" s="37">
        <v>43509</v>
      </c>
      <c r="B85" s="46">
        <f t="shared" si="6"/>
        <v>2</v>
      </c>
      <c r="C85" s="34">
        <v>2020021300172</v>
      </c>
      <c r="D85" s="33">
        <v>901</v>
      </c>
      <c r="E85" s="35" t="s">
        <v>12</v>
      </c>
      <c r="F85" s="33" t="s">
        <v>17</v>
      </c>
      <c r="G85" s="33" t="s">
        <v>18</v>
      </c>
      <c r="H85" s="36">
        <v>72</v>
      </c>
      <c r="I85" s="47">
        <f>IFERROR(INDEX(TBL_Frete!$A$1:$J$58,MATCH(IF($D85="","",VLOOKUP(D85,TBL_Frete!A:B,2,1)),TBL_Frete!B:B,0),MATCH(BD!E85,TBL_Frete!$A$1:$J$1,0)),"")+H85</f>
        <v>3565.14</v>
      </c>
      <c r="J85" s="47">
        <f t="shared" si="7"/>
        <v>3137.3231999999998</v>
      </c>
      <c r="K85" s="36">
        <v>2350</v>
      </c>
      <c r="L85" s="47">
        <f t="shared" si="8"/>
        <v>787.32319999999982</v>
      </c>
      <c r="M85" s="44">
        <v>43510.416666666664</v>
      </c>
      <c r="N85" s="37">
        <v>43510</v>
      </c>
      <c r="O85" s="38">
        <v>0.41666666666666669</v>
      </c>
      <c r="P85" s="46" t="str">
        <f t="shared" si="9"/>
        <v>DENTRO DO PRAZO</v>
      </c>
      <c r="Q85" s="49">
        <f t="shared" si="10"/>
        <v>43514</v>
      </c>
      <c r="R85" s="37">
        <v>43511</v>
      </c>
      <c r="S85" s="49" t="str">
        <f t="shared" si="11"/>
        <v>FORA DO PRAZO</v>
      </c>
    </row>
    <row r="86" spans="1:19">
      <c r="A86" s="37">
        <v>43509</v>
      </c>
      <c r="B86" s="46">
        <f t="shared" si="6"/>
        <v>2</v>
      </c>
      <c r="C86" s="34" t="s">
        <v>146</v>
      </c>
      <c r="D86" s="33">
        <v>540</v>
      </c>
      <c r="E86" s="35" t="s">
        <v>8</v>
      </c>
      <c r="F86" s="33" t="s">
        <v>17</v>
      </c>
      <c r="G86" s="33" t="s">
        <v>22</v>
      </c>
      <c r="I86" s="47">
        <f>IFERROR(INDEX(TBL_Frete!$A$1:$J$58,MATCH(IF($D86="","",VLOOKUP(D86,TBL_Frete!A:B,2,1)),TBL_Frete!B:B,0),MATCH(BD!E86,TBL_Frete!$A$1:$J$1,0)),"")+H86</f>
        <v>1217.47</v>
      </c>
      <c r="J86" s="47">
        <f t="shared" si="7"/>
        <v>1071.3736000000001</v>
      </c>
      <c r="K86" s="36">
        <v>950</v>
      </c>
      <c r="L86" s="47">
        <f t="shared" si="8"/>
        <v>121.37360000000012</v>
      </c>
      <c r="M86" s="44">
        <v>43510.333333333336</v>
      </c>
      <c r="N86" s="37">
        <v>43510</v>
      </c>
      <c r="O86" s="38">
        <v>0.35416666666666669</v>
      </c>
      <c r="P86" s="46" t="str">
        <f t="shared" si="9"/>
        <v>FORA DO PRAZO</v>
      </c>
      <c r="Q86" s="49">
        <f t="shared" si="10"/>
        <v>43514</v>
      </c>
      <c r="R86" s="37">
        <v>43514</v>
      </c>
      <c r="S86" s="49" t="str">
        <f t="shared" si="11"/>
        <v>FORA DO PRAZO</v>
      </c>
    </row>
    <row r="87" spans="1:19">
      <c r="A87" s="37">
        <v>43509</v>
      </c>
      <c r="B87" s="46">
        <f t="shared" si="6"/>
        <v>2</v>
      </c>
      <c r="C87" s="34" t="s">
        <v>147</v>
      </c>
      <c r="D87" s="33">
        <v>997</v>
      </c>
      <c r="E87" s="35" t="s">
        <v>10</v>
      </c>
      <c r="F87" s="33" t="s">
        <v>17</v>
      </c>
      <c r="G87" s="33" t="s">
        <v>49</v>
      </c>
      <c r="I87" s="47">
        <f>IFERROR(INDEX(TBL_Frete!$A$1:$J$58,MATCH(IF($D87="","",VLOOKUP(D87,TBL_Frete!A:B,2,1)),TBL_Frete!B:B,0),MATCH(BD!E87,TBL_Frete!$A$1:$J$1,0)),"")+H87</f>
        <v>2771.94</v>
      </c>
      <c r="J87" s="47">
        <f t="shared" si="7"/>
        <v>2439.3072000000002</v>
      </c>
      <c r="K87" s="36">
        <v>1950</v>
      </c>
      <c r="L87" s="47">
        <f t="shared" si="8"/>
        <v>489.30720000000019</v>
      </c>
      <c r="M87" s="44">
        <v>43510.416666666664</v>
      </c>
      <c r="N87" s="37">
        <v>43510</v>
      </c>
      <c r="O87" s="38">
        <v>0.33333333333333331</v>
      </c>
      <c r="P87" s="46" t="str">
        <f t="shared" si="9"/>
        <v>DENTRO DO PRAZO</v>
      </c>
      <c r="Q87" s="49">
        <f t="shared" si="10"/>
        <v>43514</v>
      </c>
      <c r="R87" s="37">
        <v>43511</v>
      </c>
      <c r="S87" s="49" t="str">
        <f t="shared" si="11"/>
        <v>FORA DO PRAZO</v>
      </c>
    </row>
    <row r="88" spans="1:19">
      <c r="A88" s="37">
        <v>43510</v>
      </c>
      <c r="B88" s="46">
        <f t="shared" si="6"/>
        <v>2</v>
      </c>
      <c r="C88" s="34">
        <v>2020021400096</v>
      </c>
      <c r="D88" s="33">
        <v>581</v>
      </c>
      <c r="E88" s="35" t="s">
        <v>13</v>
      </c>
      <c r="F88" s="33" t="s">
        <v>17</v>
      </c>
      <c r="G88" s="33" t="s">
        <v>18</v>
      </c>
      <c r="I88" s="47">
        <f>IFERROR(INDEX(TBL_Frete!$A$1:$J$58,MATCH(IF($D88="","",VLOOKUP(D88,TBL_Frete!A:B,2,1)),TBL_Frete!B:B,0),MATCH(BD!E88,TBL_Frete!$A$1:$J$1,0)),"")+H88</f>
        <v>2512.19</v>
      </c>
      <c r="J88" s="47">
        <f t="shared" si="7"/>
        <v>2210.7272000000003</v>
      </c>
      <c r="K88" s="36">
        <v>1850</v>
      </c>
      <c r="L88" s="47">
        <f t="shared" si="8"/>
        <v>360.72720000000027</v>
      </c>
      <c r="M88" s="44">
        <v>43511.416666666664</v>
      </c>
      <c r="N88" s="37">
        <v>43511</v>
      </c>
      <c r="O88" s="38">
        <v>0.375</v>
      </c>
      <c r="P88" s="46" t="str">
        <f t="shared" si="9"/>
        <v>DENTRO DO PRAZO</v>
      </c>
      <c r="Q88" s="49">
        <f t="shared" si="10"/>
        <v>43514</v>
      </c>
      <c r="R88" s="37">
        <v>43511</v>
      </c>
      <c r="S88" s="49" t="str">
        <f t="shared" si="11"/>
        <v>DENTRO DO PRAZO</v>
      </c>
    </row>
    <row r="89" spans="1:19">
      <c r="A89" s="37">
        <v>43510</v>
      </c>
      <c r="B89" s="46">
        <f t="shared" si="6"/>
        <v>2</v>
      </c>
      <c r="C89" s="34" t="s">
        <v>148</v>
      </c>
      <c r="D89" s="33">
        <v>471</v>
      </c>
      <c r="E89" s="35" t="s">
        <v>8</v>
      </c>
      <c r="F89" s="33" t="s">
        <v>17</v>
      </c>
      <c r="G89" s="33" t="s">
        <v>27</v>
      </c>
      <c r="H89" s="36">
        <v>72</v>
      </c>
      <c r="I89" s="47">
        <f>IFERROR(INDEX(TBL_Frete!$A$1:$J$58,MATCH(IF($D89="","",VLOOKUP(D89,TBL_Frete!A:B,2,1)),TBL_Frete!B:B,0),MATCH(BD!E89,TBL_Frete!$A$1:$J$1,0)),"")+H89</f>
        <v>1175.21</v>
      </c>
      <c r="J89" s="47">
        <f t="shared" si="7"/>
        <v>1034.1848</v>
      </c>
      <c r="K89" s="36">
        <v>900</v>
      </c>
      <c r="L89" s="47">
        <f t="shared" si="8"/>
        <v>134.1848</v>
      </c>
      <c r="M89" s="44">
        <v>43511.333333333336</v>
      </c>
      <c r="N89" s="37">
        <v>43511</v>
      </c>
      <c r="O89" s="38">
        <v>0.30555555555555552</v>
      </c>
      <c r="P89" s="46" t="str">
        <f t="shared" si="9"/>
        <v>DENTRO DO PRAZO</v>
      </c>
      <c r="Q89" s="49">
        <f t="shared" si="10"/>
        <v>43514</v>
      </c>
      <c r="R89" s="37">
        <v>43511</v>
      </c>
      <c r="S89" s="49" t="str">
        <f t="shared" si="11"/>
        <v>DENTRO DO PRAZO</v>
      </c>
    </row>
    <row r="90" spans="1:19">
      <c r="A90" s="37">
        <v>43510</v>
      </c>
      <c r="B90" s="46">
        <f t="shared" si="6"/>
        <v>2</v>
      </c>
      <c r="C90" s="34" t="s">
        <v>149</v>
      </c>
      <c r="D90" s="45">
        <v>704</v>
      </c>
      <c r="E90" s="35" t="s">
        <v>8</v>
      </c>
      <c r="F90" s="33" t="s">
        <v>17</v>
      </c>
      <c r="G90" s="33" t="s">
        <v>22</v>
      </c>
      <c r="I90" s="47">
        <f>IFERROR(INDEX(TBL_Frete!$A$1:$J$58,MATCH(IF($D90="","",VLOOKUP(D90,TBL_Frete!A:B,2,1)),TBL_Frete!B:B,0),MATCH(BD!E90,TBL_Frete!$A$1:$J$1,0)),"")+H90</f>
        <v>1577.3088399999999</v>
      </c>
      <c r="J90" s="47">
        <f t="shared" si="7"/>
        <v>1388.0317791999998</v>
      </c>
      <c r="K90" s="36">
        <v>1100</v>
      </c>
      <c r="L90" s="47">
        <f t="shared" si="8"/>
        <v>288.03177919999985</v>
      </c>
      <c r="M90" s="44">
        <v>43511.333333333336</v>
      </c>
      <c r="N90" s="37">
        <v>43511</v>
      </c>
      <c r="O90" s="38">
        <v>0.3125</v>
      </c>
      <c r="P90" s="46" t="str">
        <f t="shared" si="9"/>
        <v>DENTRO DO PRAZO</v>
      </c>
      <c r="Q90" s="49">
        <f t="shared" si="10"/>
        <v>43514</v>
      </c>
      <c r="R90" s="37">
        <v>43515</v>
      </c>
      <c r="S90" s="49" t="str">
        <f t="shared" si="11"/>
        <v>FORA DO PRAZO</v>
      </c>
    </row>
    <row r="91" spans="1:19">
      <c r="A91" s="37">
        <v>43510</v>
      </c>
      <c r="B91" s="46">
        <f t="shared" si="6"/>
        <v>2</v>
      </c>
      <c r="C91" s="34" t="s">
        <v>150</v>
      </c>
      <c r="D91" s="33">
        <v>664</v>
      </c>
      <c r="E91" s="35" t="s">
        <v>12</v>
      </c>
      <c r="F91" s="33" t="s">
        <v>17</v>
      </c>
      <c r="G91" s="33" t="s">
        <v>75</v>
      </c>
      <c r="H91" s="36">
        <v>936</v>
      </c>
      <c r="I91" s="47">
        <f>IFERROR(INDEX(TBL_Frete!$A$1:$J$58,MATCH(IF($D91="","",VLOOKUP(D91,TBL_Frete!A:B,2,1)),TBL_Frete!B:B,0),MATCH(BD!E91,TBL_Frete!$A$1:$J$1,0)),"")+H91</f>
        <v>3133.17</v>
      </c>
      <c r="J91" s="47">
        <f t="shared" si="7"/>
        <v>2757.1896000000002</v>
      </c>
      <c r="K91" s="36">
        <v>2350</v>
      </c>
      <c r="L91" s="47">
        <f t="shared" si="8"/>
        <v>407.18960000000015</v>
      </c>
      <c r="M91" s="44">
        <v>43512.375</v>
      </c>
      <c r="N91" s="37">
        <v>43512</v>
      </c>
      <c r="O91" s="38">
        <v>0.47916666666666669</v>
      </c>
      <c r="P91" s="46" t="str">
        <f t="shared" si="9"/>
        <v>FORA DO PRAZO</v>
      </c>
      <c r="Q91" s="49">
        <f t="shared" si="10"/>
        <v>43514</v>
      </c>
      <c r="R91" s="37">
        <v>43515</v>
      </c>
      <c r="S91" s="49" t="str">
        <f t="shared" si="11"/>
        <v>FORA DO PRAZO</v>
      </c>
    </row>
    <row r="92" spans="1:19">
      <c r="A92" s="37">
        <v>43511</v>
      </c>
      <c r="B92" s="46">
        <f t="shared" si="6"/>
        <v>2</v>
      </c>
      <c r="C92" s="34">
        <v>2020021407798</v>
      </c>
      <c r="D92" s="33">
        <v>682</v>
      </c>
      <c r="E92" s="35" t="s">
        <v>14</v>
      </c>
      <c r="F92" s="33" t="s">
        <v>17</v>
      </c>
      <c r="G92" s="33" t="s">
        <v>69</v>
      </c>
      <c r="I92" s="47">
        <f>IFERROR(INDEX(TBL_Frete!$A$1:$J$58,MATCH(IF($D92="","",VLOOKUP(D92,TBL_Frete!A:B,2,1)),TBL_Frete!B:B,0),MATCH(BD!E92,TBL_Frete!$A$1:$J$1,0)),"")+H92</f>
        <v>3299.5</v>
      </c>
      <c r="J92" s="47">
        <f t="shared" si="7"/>
        <v>2903.56</v>
      </c>
      <c r="K92" s="36">
        <v>2450</v>
      </c>
      <c r="L92" s="47">
        <f t="shared" si="8"/>
        <v>453.55999999999995</v>
      </c>
      <c r="M92" s="44">
        <v>43512.375</v>
      </c>
      <c r="N92" s="37">
        <v>43512</v>
      </c>
      <c r="O92" s="38">
        <v>0.45833333333333331</v>
      </c>
      <c r="P92" s="46" t="str">
        <f t="shared" si="9"/>
        <v>FORA DO PRAZO</v>
      </c>
      <c r="Q92" s="49">
        <f t="shared" si="10"/>
        <v>43514</v>
      </c>
      <c r="R92" s="37">
        <v>43516</v>
      </c>
      <c r="S92" s="49" t="str">
        <f t="shared" si="11"/>
        <v>FORA DO PRAZO</v>
      </c>
    </row>
    <row r="93" spans="1:19">
      <c r="A93" s="37">
        <v>43511</v>
      </c>
      <c r="B93" s="46">
        <f t="shared" si="6"/>
        <v>2</v>
      </c>
      <c r="C93" s="34" t="s">
        <v>151</v>
      </c>
      <c r="D93" s="33">
        <v>387</v>
      </c>
      <c r="E93" s="35" t="s">
        <v>8</v>
      </c>
      <c r="F93" s="33" t="s">
        <v>17</v>
      </c>
      <c r="G93" s="33" t="s">
        <v>76</v>
      </c>
      <c r="I93" s="47">
        <f>IFERROR(INDEX(TBL_Frete!$A$1:$J$58,MATCH(IF($D93="","",VLOOKUP(D93,TBL_Frete!A:B,2,1)),TBL_Frete!B:B,0),MATCH(BD!E93,TBL_Frete!$A$1:$J$1,0)),"")+H93</f>
        <v>1039.26</v>
      </c>
      <c r="J93" s="47">
        <f t="shared" si="7"/>
        <v>914.54880000000003</v>
      </c>
      <c r="K93" s="36">
        <v>800</v>
      </c>
      <c r="L93" s="47">
        <f t="shared" si="8"/>
        <v>114.54880000000003</v>
      </c>
      <c r="M93" s="44">
        <v>43512.333333333336</v>
      </c>
      <c r="N93" s="37">
        <v>43512</v>
      </c>
      <c r="O93" s="38">
        <v>0.31944444444444448</v>
      </c>
      <c r="P93" s="46" t="str">
        <f t="shared" si="9"/>
        <v>DENTRO DO PRAZO</v>
      </c>
      <c r="Q93" s="49">
        <f t="shared" si="10"/>
        <v>43514</v>
      </c>
      <c r="R93" s="37">
        <v>43515</v>
      </c>
      <c r="S93" s="49" t="str">
        <f t="shared" si="11"/>
        <v>FORA DO PRAZO</v>
      </c>
    </row>
    <row r="94" spans="1:19">
      <c r="A94" s="37">
        <v>43511</v>
      </c>
      <c r="B94" s="46">
        <f t="shared" si="6"/>
        <v>2</v>
      </c>
      <c r="C94" s="34" t="s">
        <v>152</v>
      </c>
      <c r="D94" s="33">
        <v>541</v>
      </c>
      <c r="E94" s="35" t="s">
        <v>8</v>
      </c>
      <c r="F94" s="33" t="s">
        <v>17</v>
      </c>
      <c r="G94" s="33" t="s">
        <v>22</v>
      </c>
      <c r="H94" s="36">
        <v>72</v>
      </c>
      <c r="I94" s="47">
        <f>IFERROR(INDEX(TBL_Frete!$A$1:$J$58,MATCH(IF($D94="","",VLOOKUP(D94,TBL_Frete!A:B,2,1)),TBL_Frete!B:B,0),MATCH(BD!E94,TBL_Frete!$A$1:$J$1,0)),"")+H94</f>
        <v>1289.47</v>
      </c>
      <c r="J94" s="47">
        <f t="shared" si="7"/>
        <v>1134.7336</v>
      </c>
      <c r="K94" s="36">
        <v>1000</v>
      </c>
      <c r="L94" s="47">
        <f t="shared" si="8"/>
        <v>134.73360000000002</v>
      </c>
      <c r="M94" s="44">
        <v>43514.333333333336</v>
      </c>
      <c r="N94" s="37">
        <v>43514</v>
      </c>
      <c r="O94" s="38">
        <v>0.33333333333333331</v>
      </c>
      <c r="P94" s="46" t="str">
        <f t="shared" si="9"/>
        <v>DENTRO DO PRAZO</v>
      </c>
      <c r="Q94" s="49">
        <f t="shared" si="10"/>
        <v>43516</v>
      </c>
      <c r="R94" s="37">
        <v>43515</v>
      </c>
      <c r="S94" s="49" t="str">
        <f t="shared" si="11"/>
        <v>FORA DO PRAZO</v>
      </c>
    </row>
    <row r="95" spans="1:19">
      <c r="A95" s="37">
        <v>43511</v>
      </c>
      <c r="B95" s="46">
        <f t="shared" si="6"/>
        <v>2</v>
      </c>
      <c r="C95" s="34" t="s">
        <v>91</v>
      </c>
      <c r="D95" s="33">
        <v>57</v>
      </c>
      <c r="E95" s="35" t="s">
        <v>8</v>
      </c>
      <c r="F95" s="33" t="s">
        <v>17</v>
      </c>
      <c r="G95" s="33" t="s">
        <v>77</v>
      </c>
      <c r="H95" s="36">
        <v>626.4</v>
      </c>
      <c r="I95" s="47">
        <f>IFERROR(INDEX(TBL_Frete!$A$1:$J$58,MATCH(IF($D95="","",VLOOKUP(D95,TBL_Frete!A:B,2,1)),TBL_Frete!B:B,0),MATCH(BD!E95,TBL_Frete!$A$1:$J$1,0)),"")+H95</f>
        <v>1093.9961075000001</v>
      </c>
      <c r="J95" s="47">
        <f t="shared" si="7"/>
        <v>962.71657460000006</v>
      </c>
      <c r="K95" s="36">
        <v>700</v>
      </c>
      <c r="L95" s="47">
        <f t="shared" si="8"/>
        <v>262.71657460000006</v>
      </c>
      <c r="M95" s="44">
        <v>43514.541666666664</v>
      </c>
      <c r="N95" s="37">
        <v>43514</v>
      </c>
      <c r="O95" s="38">
        <v>0.54166666666666663</v>
      </c>
      <c r="P95" s="46" t="str">
        <f t="shared" si="9"/>
        <v>DENTRO DO PRAZO</v>
      </c>
      <c r="Q95" s="49">
        <f t="shared" si="10"/>
        <v>43516</v>
      </c>
      <c r="R95" s="37">
        <v>43515</v>
      </c>
      <c r="S95" s="49" t="str">
        <f t="shared" si="11"/>
        <v>FORA DO PRAZO</v>
      </c>
    </row>
    <row r="96" spans="1:19">
      <c r="A96" s="37">
        <v>43512</v>
      </c>
      <c r="B96" s="46">
        <f t="shared" si="6"/>
        <v>2</v>
      </c>
      <c r="C96" s="34">
        <v>2020021500043</v>
      </c>
      <c r="D96" s="33">
        <v>402</v>
      </c>
      <c r="E96" s="35" t="s">
        <v>12</v>
      </c>
      <c r="F96" s="33" t="s">
        <v>17</v>
      </c>
      <c r="G96" s="33" t="s">
        <v>36</v>
      </c>
      <c r="H96" s="36">
        <v>1032</v>
      </c>
      <c r="I96" s="47">
        <f>IFERROR(INDEX(TBL_Frete!$A$1:$J$58,MATCH(IF($D96="","",VLOOKUP(D96,TBL_Frete!A:B,2,1)),TBL_Frete!B:B,0),MATCH(BD!E96,TBL_Frete!$A$1:$J$1,0)),"")+H96</f>
        <v>2718.3</v>
      </c>
      <c r="J96" s="47">
        <f t="shared" si="7"/>
        <v>2392.1040000000003</v>
      </c>
      <c r="K96" s="36">
        <v>1900</v>
      </c>
      <c r="L96" s="47">
        <f t="shared" si="8"/>
        <v>492.10400000000027</v>
      </c>
      <c r="M96" s="44">
        <v>43514.541666666664</v>
      </c>
      <c r="N96" s="37">
        <v>43514</v>
      </c>
      <c r="O96" s="38">
        <v>0.45833333333333331</v>
      </c>
      <c r="P96" s="46" t="str">
        <f t="shared" si="9"/>
        <v>DENTRO DO PRAZO</v>
      </c>
      <c r="Q96" s="49">
        <f t="shared" si="10"/>
        <v>43516</v>
      </c>
      <c r="R96" s="37">
        <v>43516</v>
      </c>
      <c r="S96" s="49" t="str">
        <f t="shared" si="11"/>
        <v>FORA DO PRAZO</v>
      </c>
    </row>
    <row r="97" spans="1:19">
      <c r="A97" s="37">
        <v>43512</v>
      </c>
      <c r="B97" s="46">
        <f t="shared" si="6"/>
        <v>2</v>
      </c>
      <c r="C97" s="34">
        <v>2020021605858</v>
      </c>
      <c r="D97" s="33">
        <v>682</v>
      </c>
      <c r="E97" s="35" t="s">
        <v>14</v>
      </c>
      <c r="F97" s="33" t="s">
        <v>17</v>
      </c>
      <c r="G97" s="33" t="s">
        <v>69</v>
      </c>
      <c r="I97" s="47">
        <f>IFERROR(INDEX(TBL_Frete!$A$1:$J$58,MATCH(IF($D97="","",VLOOKUP(D97,TBL_Frete!A:B,2,1)),TBL_Frete!B:B,0),MATCH(BD!E97,TBL_Frete!$A$1:$J$1,0)),"")+H97</f>
        <v>3299.5</v>
      </c>
      <c r="J97" s="47">
        <f t="shared" si="7"/>
        <v>2903.56</v>
      </c>
      <c r="K97" s="36">
        <v>2550</v>
      </c>
      <c r="L97" s="47">
        <f t="shared" si="8"/>
        <v>353.55999999999995</v>
      </c>
      <c r="M97" s="44">
        <v>43514.375</v>
      </c>
      <c r="N97" s="37">
        <v>43514</v>
      </c>
      <c r="O97" s="38">
        <v>0.33333333333333331</v>
      </c>
      <c r="P97" s="46" t="str">
        <f t="shared" si="9"/>
        <v>DENTRO DO PRAZO</v>
      </c>
      <c r="Q97" s="49">
        <f t="shared" si="10"/>
        <v>43516</v>
      </c>
      <c r="R97" s="37">
        <v>43514</v>
      </c>
      <c r="S97" s="49" t="str">
        <f t="shared" si="11"/>
        <v>DENTRO DO PRAZO</v>
      </c>
    </row>
    <row r="98" spans="1:19">
      <c r="A98" s="37">
        <v>43514</v>
      </c>
      <c r="B98" s="46">
        <f t="shared" si="6"/>
        <v>2</v>
      </c>
      <c r="C98" s="34">
        <v>2020021700242</v>
      </c>
      <c r="D98" s="33">
        <v>703</v>
      </c>
      <c r="E98" s="35" t="s">
        <v>12</v>
      </c>
      <c r="F98" s="33" t="s">
        <v>17</v>
      </c>
      <c r="G98" s="33" t="s">
        <v>67</v>
      </c>
      <c r="I98" s="47">
        <f>IFERROR(INDEX(TBL_Frete!$A$1:$J$58,MATCH(IF($D98="","",VLOOKUP(D98,TBL_Frete!A:B,2,1)),TBL_Frete!B:B,0),MATCH(BD!E98,TBL_Frete!$A$1:$J$1,0)),"")+H98</f>
        <v>2379</v>
      </c>
      <c r="J98" s="47">
        <f t="shared" si="7"/>
        <v>2093.52</v>
      </c>
      <c r="K98" s="36">
        <v>1750</v>
      </c>
      <c r="L98" s="47">
        <f t="shared" si="8"/>
        <v>343.52</v>
      </c>
      <c r="M98" s="44">
        <v>43515.458333333336</v>
      </c>
      <c r="N98" s="37">
        <v>43515</v>
      </c>
      <c r="O98" s="38">
        <v>0.45833333333333331</v>
      </c>
      <c r="P98" s="46" t="str">
        <f t="shared" si="9"/>
        <v>DENTRO DO PRAZO</v>
      </c>
      <c r="Q98" s="49">
        <f t="shared" si="10"/>
        <v>43517</v>
      </c>
      <c r="R98" s="37">
        <v>43516</v>
      </c>
      <c r="S98" s="49" t="str">
        <f t="shared" si="11"/>
        <v>FORA DO PRAZO</v>
      </c>
    </row>
    <row r="99" spans="1:19">
      <c r="A99" s="37">
        <v>43514</v>
      </c>
      <c r="B99" s="46">
        <f t="shared" si="6"/>
        <v>2</v>
      </c>
      <c r="C99" s="34" t="s">
        <v>153</v>
      </c>
      <c r="D99" s="33">
        <v>805</v>
      </c>
      <c r="E99" s="35" t="s">
        <v>8</v>
      </c>
      <c r="F99" s="33" t="s">
        <v>17</v>
      </c>
      <c r="G99" s="33" t="s">
        <v>29</v>
      </c>
      <c r="H99" s="36">
        <v>72</v>
      </c>
      <c r="I99" s="47">
        <f>IFERROR(INDEX(TBL_Frete!$A$1:$J$58,MATCH(IF($D99="","",VLOOKUP(D99,TBL_Frete!A:B,2,1)),TBL_Frete!B:B,0),MATCH(BD!E99,TBL_Frete!$A$1:$J$1,0)),"")+H99</f>
        <v>1838.1125050000001</v>
      </c>
      <c r="J99" s="47">
        <f t="shared" si="7"/>
        <v>1617.5390044000001</v>
      </c>
      <c r="K99" s="36">
        <v>1350</v>
      </c>
      <c r="L99" s="47">
        <f t="shared" si="8"/>
        <v>267.53900440000007</v>
      </c>
      <c r="M99" s="44">
        <v>43515.333333333336</v>
      </c>
      <c r="N99" s="37">
        <v>43515</v>
      </c>
      <c r="O99" s="38">
        <v>0.33333333333333331</v>
      </c>
      <c r="P99" s="46" t="str">
        <f t="shared" si="9"/>
        <v>DENTRO DO PRAZO</v>
      </c>
      <c r="Q99" s="49">
        <f t="shared" si="10"/>
        <v>43517</v>
      </c>
      <c r="R99" s="37">
        <v>43516</v>
      </c>
      <c r="S99" s="49" t="str">
        <f t="shared" si="11"/>
        <v>FORA DO PRAZO</v>
      </c>
    </row>
    <row r="100" spans="1:19">
      <c r="A100" s="37">
        <v>43514</v>
      </c>
      <c r="B100" s="46">
        <f t="shared" si="6"/>
        <v>2</v>
      </c>
      <c r="C100" s="34" t="s">
        <v>154</v>
      </c>
      <c r="D100" s="33">
        <v>581</v>
      </c>
      <c r="E100" s="35" t="s">
        <v>10</v>
      </c>
      <c r="F100" s="33" t="s">
        <v>17</v>
      </c>
      <c r="G100" s="33" t="s">
        <v>18</v>
      </c>
      <c r="I100" s="47">
        <f>IFERROR(INDEX(TBL_Frete!$A$1:$J$58,MATCH(IF($D100="","",VLOOKUP(D100,TBL_Frete!A:B,2,1)),TBL_Frete!B:B,0),MATCH(BD!E100,TBL_Frete!$A$1:$J$1,0)),"")+H100</f>
        <v>1355.4</v>
      </c>
      <c r="J100" s="47">
        <f t="shared" si="7"/>
        <v>1192.7520000000002</v>
      </c>
      <c r="K100" s="36">
        <v>1285</v>
      </c>
      <c r="L100" s="47">
        <f t="shared" si="8"/>
        <v>-92.24799999999982</v>
      </c>
      <c r="M100" s="44">
        <v>43515.333333333336</v>
      </c>
      <c r="N100" s="37">
        <v>43515</v>
      </c>
      <c r="O100" s="38">
        <v>0.33333333333333331</v>
      </c>
      <c r="P100" s="46" t="str">
        <f t="shared" si="9"/>
        <v>DENTRO DO PRAZO</v>
      </c>
      <c r="Q100" s="49">
        <f t="shared" si="10"/>
        <v>43517</v>
      </c>
      <c r="R100" s="37">
        <v>43516</v>
      </c>
      <c r="S100" s="49" t="str">
        <f t="shared" si="11"/>
        <v>FORA DO PRAZO</v>
      </c>
    </row>
    <row r="101" spans="1:19">
      <c r="A101" s="37">
        <v>43515</v>
      </c>
      <c r="B101" s="46">
        <f t="shared" si="6"/>
        <v>2</v>
      </c>
      <c r="C101" s="34">
        <v>2020022000152</v>
      </c>
      <c r="D101" s="33">
        <v>101</v>
      </c>
      <c r="E101" s="35" t="s">
        <v>10</v>
      </c>
      <c r="F101" s="33" t="s">
        <v>17</v>
      </c>
      <c r="G101" s="33" t="s">
        <v>78</v>
      </c>
      <c r="I101" s="47">
        <f>IFERROR(INDEX(TBL_Frete!$A$1:$J$58,MATCH(IF($D101="","",VLOOKUP(D101,TBL_Frete!A:B,2,1)),TBL_Frete!B:B,0),MATCH(BD!E101,TBL_Frete!$A$1:$J$1,0)),"")+H101</f>
        <v>576.5</v>
      </c>
      <c r="J101" s="47">
        <f t="shared" si="7"/>
        <v>507.32</v>
      </c>
      <c r="K101" s="36">
        <v>310</v>
      </c>
      <c r="L101" s="47">
        <f t="shared" si="8"/>
        <v>197.32</v>
      </c>
      <c r="M101" s="44">
        <v>43515.666666666664</v>
      </c>
      <c r="N101" s="37">
        <v>43515</v>
      </c>
      <c r="O101" s="38">
        <v>0.66666666666666663</v>
      </c>
      <c r="P101" s="46" t="str">
        <f t="shared" si="9"/>
        <v>DENTRO DO PRAZO</v>
      </c>
      <c r="Q101" s="49">
        <f t="shared" si="10"/>
        <v>43517</v>
      </c>
      <c r="R101" s="37">
        <v>43517</v>
      </c>
      <c r="S101" s="49" t="str">
        <f t="shared" si="11"/>
        <v>FORA DO PRAZO</v>
      </c>
    </row>
    <row r="102" spans="1:19">
      <c r="A102" s="37">
        <v>43515</v>
      </c>
      <c r="B102" s="46">
        <f t="shared" si="6"/>
        <v>2</v>
      </c>
      <c r="C102" s="34">
        <v>2020021900221</v>
      </c>
      <c r="D102" s="33">
        <v>501</v>
      </c>
      <c r="E102" s="35" t="s">
        <v>10</v>
      </c>
      <c r="F102" s="33" t="s">
        <v>17</v>
      </c>
      <c r="G102" s="33" t="s">
        <v>79</v>
      </c>
      <c r="H102" s="36">
        <v>72</v>
      </c>
      <c r="I102" s="47">
        <f>IFERROR(INDEX(TBL_Frete!$A$1:$J$58,MATCH(IF($D102="","",VLOOKUP(D102,TBL_Frete!A:B,2,1)),TBL_Frete!B:B,0),MATCH(BD!E102,TBL_Frete!$A$1:$J$1,0)),"")+H102</f>
        <v>1338.12</v>
      </c>
      <c r="J102" s="47">
        <f t="shared" si="7"/>
        <v>1177.5455999999999</v>
      </c>
      <c r="K102" s="36">
        <v>1050</v>
      </c>
      <c r="L102" s="47">
        <f t="shared" si="8"/>
        <v>127.54559999999992</v>
      </c>
      <c r="M102" s="44">
        <v>43516.416666666664</v>
      </c>
      <c r="N102" s="37">
        <v>43516</v>
      </c>
      <c r="O102" s="38">
        <v>0.5</v>
      </c>
      <c r="P102" s="46" t="str">
        <f t="shared" si="9"/>
        <v>FORA DO PRAZO</v>
      </c>
      <c r="Q102" s="49">
        <f t="shared" si="10"/>
        <v>43518</v>
      </c>
      <c r="R102" s="37">
        <v>43516</v>
      </c>
      <c r="S102" s="49" t="str">
        <f t="shared" si="11"/>
        <v>DENTRO DO PRAZO</v>
      </c>
    </row>
    <row r="103" spans="1:19">
      <c r="A103" s="37">
        <v>43515</v>
      </c>
      <c r="B103" s="46">
        <f t="shared" si="6"/>
        <v>2</v>
      </c>
      <c r="C103" s="34">
        <v>2020021900175</v>
      </c>
      <c r="D103" s="33">
        <v>677</v>
      </c>
      <c r="E103" s="35" t="s">
        <v>13</v>
      </c>
      <c r="F103" s="33" t="s">
        <v>17</v>
      </c>
      <c r="G103" s="33" t="s">
        <v>35</v>
      </c>
      <c r="H103" s="36">
        <v>144</v>
      </c>
      <c r="I103" s="47">
        <f>IFERROR(INDEX(TBL_Frete!$A$1:$J$58,MATCH(IF($D103="","",VLOOKUP(D103,TBL_Frete!A:B,2,1)),TBL_Frete!B:B,0),MATCH(BD!E103,TBL_Frete!$A$1:$J$1,0)),"")+H103</f>
        <v>3092.35</v>
      </c>
      <c r="J103" s="47">
        <f t="shared" si="7"/>
        <v>2721.268</v>
      </c>
      <c r="K103" s="36">
        <v>1850</v>
      </c>
      <c r="L103" s="47">
        <f t="shared" si="8"/>
        <v>871.26800000000003</v>
      </c>
      <c r="M103" s="44">
        <v>43516.416666666664</v>
      </c>
      <c r="N103" s="37">
        <v>43516</v>
      </c>
      <c r="O103" s="38">
        <v>0.41666666666666669</v>
      </c>
      <c r="P103" s="46" t="str">
        <f t="shared" si="9"/>
        <v>DENTRO DO PRAZO</v>
      </c>
      <c r="Q103" s="49">
        <f t="shared" si="10"/>
        <v>43518</v>
      </c>
      <c r="R103" s="37">
        <v>43516</v>
      </c>
      <c r="S103" s="49" t="str">
        <f t="shared" si="11"/>
        <v>DENTRO DO PRAZO</v>
      </c>
    </row>
    <row r="104" spans="1:19">
      <c r="A104" s="37">
        <v>43516</v>
      </c>
      <c r="B104" s="46">
        <f t="shared" si="6"/>
        <v>2</v>
      </c>
      <c r="C104" s="34">
        <v>2020021908852</v>
      </c>
      <c r="D104" s="33">
        <v>530</v>
      </c>
      <c r="E104" s="35" t="s">
        <v>15</v>
      </c>
      <c r="F104" s="33" t="s">
        <v>17</v>
      </c>
      <c r="G104" s="33" t="s">
        <v>80</v>
      </c>
      <c r="I104" s="47">
        <f>IFERROR(INDEX(TBL_Frete!$A$1:$J$58,MATCH(IF($D104="","",VLOOKUP(D104,TBL_Frete!A:B,2,1)),TBL_Frete!B:B,0),MATCH(BD!E104,TBL_Frete!$A$1:$J$1,0)),"")+H104</f>
        <v>3409.24</v>
      </c>
      <c r="J104" s="47">
        <f t="shared" si="7"/>
        <v>3000.1311999999998</v>
      </c>
      <c r="K104" s="36">
        <v>2850</v>
      </c>
      <c r="L104" s="47">
        <f t="shared" si="8"/>
        <v>150.13119999999981</v>
      </c>
      <c r="M104" s="44">
        <v>43517.375</v>
      </c>
      <c r="N104" s="37">
        <v>43517</v>
      </c>
      <c r="O104" s="38">
        <v>0.33333333333333331</v>
      </c>
      <c r="P104" s="46" t="str">
        <f t="shared" si="9"/>
        <v>DENTRO DO PRAZO</v>
      </c>
      <c r="Q104" s="49">
        <f t="shared" si="10"/>
        <v>43521</v>
      </c>
      <c r="R104" s="37">
        <v>43518</v>
      </c>
      <c r="S104" s="49" t="str">
        <f t="shared" si="11"/>
        <v>FORA DO PRAZO</v>
      </c>
    </row>
    <row r="105" spans="1:19">
      <c r="A105" s="37">
        <v>43516</v>
      </c>
      <c r="B105" s="46">
        <f t="shared" si="6"/>
        <v>2</v>
      </c>
      <c r="C105" s="34">
        <v>2020022000208</v>
      </c>
      <c r="D105" s="33">
        <v>477</v>
      </c>
      <c r="E105" s="35" t="s">
        <v>15</v>
      </c>
      <c r="F105" s="33" t="s">
        <v>17</v>
      </c>
      <c r="G105" s="33" t="s">
        <v>81</v>
      </c>
      <c r="H105" s="36">
        <v>700</v>
      </c>
      <c r="I105" s="47">
        <f>IFERROR(INDEX(TBL_Frete!$A$1:$J$58,MATCH(IF($D105="","",VLOOKUP(D105,TBL_Frete!A:B,2,1)),TBL_Frete!B:B,0),MATCH(BD!E105,TBL_Frete!$A$1:$J$1,0)),"")+H105</f>
        <v>3990</v>
      </c>
      <c r="J105" s="47">
        <f t="shared" si="7"/>
        <v>3511.2</v>
      </c>
      <c r="K105" s="36">
        <v>2950</v>
      </c>
      <c r="L105" s="47">
        <f t="shared" si="8"/>
        <v>561.19999999999982</v>
      </c>
      <c r="M105" s="44">
        <v>43517.416666666664</v>
      </c>
      <c r="N105" s="37">
        <v>43517</v>
      </c>
      <c r="O105" s="38">
        <v>0.33333333333333331</v>
      </c>
      <c r="P105" s="46" t="str">
        <f t="shared" si="9"/>
        <v>DENTRO DO PRAZO</v>
      </c>
      <c r="Q105" s="49">
        <f t="shared" si="10"/>
        <v>43521</v>
      </c>
      <c r="R105" s="37">
        <v>43517</v>
      </c>
      <c r="S105" s="49" t="str">
        <f t="shared" si="11"/>
        <v>DENTRO DO PRAZO</v>
      </c>
    </row>
    <row r="106" spans="1:19">
      <c r="A106" s="37">
        <v>43516</v>
      </c>
      <c r="B106" s="46">
        <f t="shared" si="6"/>
        <v>2</v>
      </c>
      <c r="C106" s="34" t="s">
        <v>155</v>
      </c>
      <c r="D106" s="33">
        <v>670</v>
      </c>
      <c r="E106" s="35" t="s">
        <v>8</v>
      </c>
      <c r="F106" s="33" t="s">
        <v>17</v>
      </c>
      <c r="G106" s="33" t="s">
        <v>51</v>
      </c>
      <c r="I106" s="47">
        <f>IFERROR(INDEX(TBL_Frete!$A$1:$J$58,MATCH(IF($D106="","",VLOOKUP(D106,TBL_Frete!A:B,2,1)),TBL_Frete!B:B,0),MATCH(BD!E106,TBL_Frete!$A$1:$J$1,0)),"")+H106</f>
        <v>1478.8</v>
      </c>
      <c r="J106" s="47">
        <f t="shared" si="7"/>
        <v>1301.3440000000001</v>
      </c>
      <c r="K106" s="36">
        <v>1150</v>
      </c>
      <c r="L106" s="47">
        <f t="shared" si="8"/>
        <v>151.34400000000005</v>
      </c>
      <c r="M106" s="44">
        <v>43517.416666666664</v>
      </c>
      <c r="N106" s="37">
        <v>43517</v>
      </c>
      <c r="O106" s="38">
        <v>0.375</v>
      </c>
      <c r="P106" s="46" t="str">
        <f t="shared" si="9"/>
        <v>DENTRO DO PRAZO</v>
      </c>
      <c r="Q106" s="49">
        <f t="shared" si="10"/>
        <v>43521</v>
      </c>
      <c r="R106" s="37">
        <v>43517</v>
      </c>
      <c r="S106" s="49" t="str">
        <f t="shared" si="11"/>
        <v>DENTRO DO PRAZO</v>
      </c>
    </row>
    <row r="107" spans="1:19">
      <c r="A107" s="37">
        <v>43516</v>
      </c>
      <c r="B107" s="46">
        <f t="shared" si="6"/>
        <v>2</v>
      </c>
      <c r="C107" s="34">
        <v>2020021900220</v>
      </c>
      <c r="D107" s="33">
        <v>581</v>
      </c>
      <c r="E107" s="35" t="s">
        <v>12</v>
      </c>
      <c r="F107" s="33" t="s">
        <v>17</v>
      </c>
      <c r="G107" s="33" t="s">
        <v>18</v>
      </c>
      <c r="I107" s="47">
        <f>IFERROR(INDEX(TBL_Frete!$A$1:$J$58,MATCH(IF($D107="","",VLOOKUP(D107,TBL_Frete!A:B,2,1)),TBL_Frete!B:B,0),MATCH(BD!E107,TBL_Frete!$A$1:$J$1,0)),"")+H107</f>
        <v>1991.4</v>
      </c>
      <c r="J107" s="47">
        <f t="shared" si="7"/>
        <v>1752.432</v>
      </c>
      <c r="K107" s="36">
        <v>1650</v>
      </c>
      <c r="L107" s="47">
        <f t="shared" si="8"/>
        <v>102.43200000000002</v>
      </c>
      <c r="M107" s="44">
        <v>43517.375</v>
      </c>
      <c r="N107" s="37">
        <v>43517</v>
      </c>
      <c r="O107" s="38">
        <v>0.43055555555555558</v>
      </c>
      <c r="P107" s="46" t="str">
        <f t="shared" si="9"/>
        <v>FORA DO PRAZO</v>
      </c>
      <c r="Q107" s="49">
        <f t="shared" si="10"/>
        <v>43521</v>
      </c>
      <c r="R107" s="37">
        <v>43518</v>
      </c>
      <c r="S107" s="49" t="str">
        <f t="shared" si="11"/>
        <v>FORA DO PRAZO</v>
      </c>
    </row>
    <row r="108" spans="1:19">
      <c r="A108" s="37">
        <v>43516</v>
      </c>
      <c r="B108" s="46">
        <f t="shared" si="6"/>
        <v>2</v>
      </c>
      <c r="C108" s="34">
        <v>2020022000262</v>
      </c>
      <c r="D108" s="33">
        <v>771</v>
      </c>
      <c r="E108" s="35" t="s">
        <v>13</v>
      </c>
      <c r="F108" s="33" t="s">
        <v>17</v>
      </c>
      <c r="G108" s="33" t="s">
        <v>82</v>
      </c>
      <c r="H108" s="36">
        <v>1142</v>
      </c>
      <c r="I108" s="47">
        <f>IFERROR(INDEX(TBL_Frete!$A$1:$J$58,MATCH(IF($D108="","",VLOOKUP(D108,TBL_Frete!A:B,2,1)),TBL_Frete!B:B,0),MATCH(BD!E108,TBL_Frete!$A$1:$J$1,0)),"")+H108</f>
        <v>4443.21</v>
      </c>
      <c r="J108" s="47">
        <f t="shared" si="7"/>
        <v>3910.0248000000001</v>
      </c>
      <c r="K108" s="36">
        <v>3210</v>
      </c>
      <c r="L108" s="47">
        <f t="shared" si="8"/>
        <v>700.02480000000014</v>
      </c>
      <c r="M108" s="44">
        <v>43517.541666666664</v>
      </c>
      <c r="N108" s="37">
        <v>43517</v>
      </c>
      <c r="O108" s="38">
        <v>0.52083333333333337</v>
      </c>
      <c r="P108" s="46" t="str">
        <f t="shared" si="9"/>
        <v>DENTRO DO PRAZO</v>
      </c>
      <c r="Q108" s="49">
        <f t="shared" si="10"/>
        <v>43521</v>
      </c>
      <c r="R108" s="37">
        <v>43521</v>
      </c>
      <c r="S108" s="49" t="str">
        <f t="shared" si="11"/>
        <v>FORA DO PRAZO</v>
      </c>
    </row>
    <row r="109" spans="1:19">
      <c r="A109" s="37">
        <v>43517</v>
      </c>
      <c r="B109" s="46">
        <f t="shared" si="6"/>
        <v>2</v>
      </c>
      <c r="C109" s="34">
        <v>2020021600088</v>
      </c>
      <c r="D109" s="33">
        <v>581</v>
      </c>
      <c r="E109" s="35" t="s">
        <v>14</v>
      </c>
      <c r="F109" s="33" t="s">
        <v>17</v>
      </c>
      <c r="G109" s="33" t="s">
        <v>18</v>
      </c>
      <c r="I109" s="47">
        <f>IFERROR(INDEX(TBL_Frete!$A$1:$J$58,MATCH(IF($D109="","",VLOOKUP(D109,TBL_Frete!A:B,2,1)),TBL_Frete!B:B,0),MATCH(BD!E109,TBL_Frete!$A$1:$J$1,0)),"")+H109</f>
        <v>2826.95</v>
      </c>
      <c r="J109" s="47">
        <f t="shared" si="7"/>
        <v>2487.7159999999999</v>
      </c>
      <c r="K109" s="36">
        <v>2350</v>
      </c>
      <c r="L109" s="47">
        <f t="shared" si="8"/>
        <v>137.71599999999989</v>
      </c>
      <c r="M109" s="44">
        <v>43518.333333333336</v>
      </c>
      <c r="N109" s="37">
        <v>43518</v>
      </c>
      <c r="O109" s="38">
        <v>0.33333333333333331</v>
      </c>
      <c r="P109" s="46" t="str">
        <f t="shared" si="9"/>
        <v>DENTRO DO PRAZO</v>
      </c>
      <c r="Q109" s="49">
        <f t="shared" si="10"/>
        <v>43521</v>
      </c>
      <c r="R109" s="37">
        <v>43518</v>
      </c>
      <c r="S109" s="49" t="str">
        <f t="shared" si="11"/>
        <v>DENTRO DO PRAZO</v>
      </c>
    </row>
    <row r="110" spans="1:19">
      <c r="A110" s="37">
        <v>43517</v>
      </c>
      <c r="B110" s="46">
        <f t="shared" si="6"/>
        <v>2</v>
      </c>
      <c r="C110" s="34">
        <v>2020021600088</v>
      </c>
      <c r="D110" s="33">
        <v>581</v>
      </c>
      <c r="E110" s="35" t="s">
        <v>14</v>
      </c>
      <c r="F110" s="33" t="s">
        <v>17</v>
      </c>
      <c r="G110" s="33" t="s">
        <v>18</v>
      </c>
      <c r="I110" s="47">
        <f>IFERROR(INDEX(TBL_Frete!$A$1:$J$58,MATCH(IF($D110="","",VLOOKUP(D110,TBL_Frete!A:B,2,1)),TBL_Frete!B:B,0),MATCH(BD!E110,TBL_Frete!$A$1:$J$1,0)),"")+H110</f>
        <v>2826.95</v>
      </c>
      <c r="J110" s="47">
        <f t="shared" si="7"/>
        <v>2487.7159999999999</v>
      </c>
      <c r="K110" s="36">
        <v>2350</v>
      </c>
      <c r="L110" s="47">
        <f t="shared" si="8"/>
        <v>137.71599999999989</v>
      </c>
      <c r="M110" s="44">
        <v>43518.333333333336</v>
      </c>
      <c r="N110" s="37">
        <v>43518</v>
      </c>
      <c r="O110" s="38">
        <v>0.33333333333333331</v>
      </c>
      <c r="P110" s="46" t="str">
        <f t="shared" si="9"/>
        <v>DENTRO DO PRAZO</v>
      </c>
      <c r="Q110" s="49">
        <f t="shared" si="10"/>
        <v>43521</v>
      </c>
      <c r="R110" s="37">
        <v>43518</v>
      </c>
      <c r="S110" s="49" t="str">
        <f t="shared" si="11"/>
        <v>DENTRO DO PRAZO</v>
      </c>
    </row>
    <row r="111" spans="1:19">
      <c r="A111" s="37">
        <v>43517</v>
      </c>
      <c r="B111" s="46">
        <f t="shared" si="6"/>
        <v>2</v>
      </c>
      <c r="C111" s="34">
        <v>2020022200011</v>
      </c>
      <c r="D111" s="33">
        <v>678</v>
      </c>
      <c r="E111" s="35" t="s">
        <v>13</v>
      </c>
      <c r="F111" s="33" t="s">
        <v>17</v>
      </c>
      <c r="G111" s="33" t="s">
        <v>69</v>
      </c>
      <c r="I111" s="47">
        <f>IFERROR(INDEX(TBL_Frete!$A$1:$J$58,MATCH(IF($D111="","",VLOOKUP(D111,TBL_Frete!A:B,2,1)),TBL_Frete!B:B,0),MATCH(BD!E111,TBL_Frete!$A$1:$J$1,0)),"")+H111</f>
        <v>2948.35</v>
      </c>
      <c r="J111" s="47">
        <f t="shared" si="7"/>
        <v>2594.5479999999998</v>
      </c>
      <c r="K111" s="36">
        <v>2150</v>
      </c>
      <c r="L111" s="47">
        <f t="shared" si="8"/>
        <v>444.54799999999977</v>
      </c>
      <c r="M111" s="44">
        <v>43519.375</v>
      </c>
      <c r="N111" s="37">
        <v>43518</v>
      </c>
      <c r="O111" s="38">
        <v>0.36805555555555558</v>
      </c>
      <c r="P111" s="46" t="str">
        <f t="shared" si="9"/>
        <v>DENTRO DO PRAZO</v>
      </c>
      <c r="Q111" s="49">
        <f t="shared" si="10"/>
        <v>43521</v>
      </c>
      <c r="R111" s="37">
        <v>43530</v>
      </c>
      <c r="S111" s="49" t="str">
        <f t="shared" si="11"/>
        <v>FORA DO PRAZO</v>
      </c>
    </row>
    <row r="112" spans="1:19">
      <c r="A112" s="37">
        <v>43517</v>
      </c>
      <c r="B112" s="46">
        <f t="shared" si="6"/>
        <v>2</v>
      </c>
      <c r="C112" s="34" t="s">
        <v>156</v>
      </c>
      <c r="D112" s="33">
        <v>101</v>
      </c>
      <c r="E112" s="35" t="s">
        <v>8</v>
      </c>
      <c r="F112" s="33" t="s">
        <v>83</v>
      </c>
      <c r="G112" s="33" t="s">
        <v>17</v>
      </c>
      <c r="I112" s="47">
        <f>IFERROR(INDEX(TBL_Frete!$A$1:$J$58,MATCH(IF($D112="","",VLOOKUP(D112,TBL_Frete!A:B,2,1)),TBL_Frete!B:B,0),MATCH(BD!E112,TBL_Frete!$A$1:$J$1,0)),"")+H112</f>
        <v>510.98692999999992</v>
      </c>
      <c r="J112" s="47">
        <f t="shared" si="7"/>
        <v>449.66849839999992</v>
      </c>
      <c r="K112" s="36">
        <v>250</v>
      </c>
      <c r="L112" s="47">
        <f t="shared" si="8"/>
        <v>199.66849839999992</v>
      </c>
      <c r="M112" s="44">
        <v>43517.833333333336</v>
      </c>
      <c r="N112" s="37">
        <v>43517</v>
      </c>
      <c r="O112" s="38">
        <v>0.88888888888888884</v>
      </c>
      <c r="P112" s="46" t="str">
        <f t="shared" si="9"/>
        <v>FORA DO PRAZO</v>
      </c>
      <c r="Q112" s="49">
        <f t="shared" si="10"/>
        <v>43521</v>
      </c>
      <c r="R112" s="37">
        <v>43517</v>
      </c>
      <c r="S112" s="49" t="str">
        <f t="shared" si="11"/>
        <v>DENTRO DO PRAZO</v>
      </c>
    </row>
    <row r="113" spans="1:19">
      <c r="A113" s="37">
        <v>43517</v>
      </c>
      <c r="B113" s="46">
        <f t="shared" si="6"/>
        <v>2</v>
      </c>
      <c r="C113" s="34" t="s">
        <v>157</v>
      </c>
      <c r="D113" s="33">
        <v>449</v>
      </c>
      <c r="E113" s="35" t="s">
        <v>8</v>
      </c>
      <c r="F113" s="33" t="s">
        <v>17</v>
      </c>
      <c r="G113" s="33" t="s">
        <v>27</v>
      </c>
      <c r="I113" s="47">
        <f>IFERROR(INDEX(TBL_Frete!$A$1:$J$58,MATCH(IF($D113="","",VLOOKUP(D113,TBL_Frete!A:B,2,1)),TBL_Frete!B:B,0),MATCH(BD!E113,TBL_Frete!$A$1:$J$1,0)),"")+H113</f>
        <v>1071.4207999999999</v>
      </c>
      <c r="J113" s="47">
        <f t="shared" si="7"/>
        <v>942.85030399999982</v>
      </c>
      <c r="K113" s="36">
        <v>800</v>
      </c>
      <c r="L113" s="47">
        <f t="shared" ref="L113:L137" si="12">J113-K113</f>
        <v>142.85030399999982</v>
      </c>
      <c r="M113" s="44">
        <v>43518.375</v>
      </c>
      <c r="N113" s="37">
        <v>43518</v>
      </c>
      <c r="O113" s="38">
        <v>0.43402777777777773</v>
      </c>
      <c r="P113" s="46" t="str">
        <f t="shared" ref="P113:P136" si="13">IF(AND(M113&lt;&gt;"",SUM(N113,O113)=""),"EM ROTA",IF(M113="","",IF(SUM(N113,O113)&gt;M113,"FORA DO PRAZO","DENTRO DO PRAZO")))</f>
        <v>FORA DO PRAZO</v>
      </c>
      <c r="Q113" s="49">
        <f t="shared" si="10"/>
        <v>43521</v>
      </c>
      <c r="R113" s="37">
        <v>43518</v>
      </c>
      <c r="S113" s="49" t="str">
        <f t="shared" si="11"/>
        <v>DENTRO DO PRAZO</v>
      </c>
    </row>
    <row r="114" spans="1:19">
      <c r="A114" s="37">
        <v>43518</v>
      </c>
      <c r="B114" s="46">
        <f t="shared" si="6"/>
        <v>2</v>
      </c>
      <c r="C114" s="34">
        <v>2020021900196</v>
      </c>
      <c r="D114" s="33">
        <v>285</v>
      </c>
      <c r="E114" s="35" t="s">
        <v>12</v>
      </c>
      <c r="F114" s="33" t="s">
        <v>17</v>
      </c>
      <c r="G114" s="33" t="s">
        <v>36</v>
      </c>
      <c r="I114" s="47">
        <f>IFERROR(INDEX(TBL_Frete!$A$1:$J$58,MATCH(IF($D114="","",VLOOKUP(D114,TBL_Frete!A:B,2,1)),TBL_Frete!B:B,0),MATCH(BD!E114,TBL_Frete!$A$1:$J$1,0)),"")+H114</f>
        <v>1462.98</v>
      </c>
      <c r="J114" s="47">
        <f t="shared" si="7"/>
        <v>1287.4223999999999</v>
      </c>
      <c r="K114" s="36">
        <v>1150</v>
      </c>
      <c r="L114" s="48">
        <f t="shared" si="12"/>
        <v>137.42239999999993</v>
      </c>
      <c r="M114" s="44">
        <v>43519.541666666664</v>
      </c>
      <c r="N114" s="37">
        <v>43519</v>
      </c>
      <c r="O114" s="38">
        <v>0.54166666666666663</v>
      </c>
      <c r="P114" s="46" t="str">
        <f t="shared" si="13"/>
        <v>DENTRO DO PRAZO</v>
      </c>
      <c r="Q114" s="49">
        <f t="shared" si="10"/>
        <v>43521</v>
      </c>
      <c r="R114" s="37">
        <v>43521</v>
      </c>
      <c r="S114" s="49" t="str">
        <f t="shared" si="11"/>
        <v>FORA DO PRAZO</v>
      </c>
    </row>
    <row r="115" spans="1:19">
      <c r="A115" s="37">
        <v>43518</v>
      </c>
      <c r="B115" s="46">
        <f t="shared" si="6"/>
        <v>2</v>
      </c>
      <c r="C115" s="34" t="s">
        <v>158</v>
      </c>
      <c r="D115" s="33">
        <v>581</v>
      </c>
      <c r="E115" s="35" t="s">
        <v>8</v>
      </c>
      <c r="F115" s="33" t="s">
        <v>17</v>
      </c>
      <c r="G115" s="33" t="s">
        <v>18</v>
      </c>
      <c r="I115" s="47">
        <f>IFERROR(INDEX(TBL_Frete!$A$1:$J$58,MATCH(IF($D115="","",VLOOKUP(D115,TBL_Frete!A:B,2,1)),TBL_Frete!B:B,0),MATCH(BD!E115,TBL_Frete!$A$1:$J$1,0)),"")+H115</f>
        <v>1303.184</v>
      </c>
      <c r="J115" s="47">
        <f t="shared" si="7"/>
        <v>1146.8019199999999</v>
      </c>
      <c r="K115" s="36">
        <v>950</v>
      </c>
      <c r="L115" s="48">
        <f t="shared" si="12"/>
        <v>196.80191999999988</v>
      </c>
      <c r="M115" s="44">
        <v>43521.333333333336</v>
      </c>
      <c r="N115" s="37">
        <v>43521</v>
      </c>
      <c r="O115" s="38">
        <v>8</v>
      </c>
      <c r="P115" s="46" t="str">
        <f t="shared" si="13"/>
        <v>FORA DO PRAZO</v>
      </c>
      <c r="Q115" s="49">
        <f t="shared" si="10"/>
        <v>43523</v>
      </c>
      <c r="R115" s="37">
        <v>43521</v>
      </c>
      <c r="S115" s="49" t="str">
        <f t="shared" si="11"/>
        <v>DENTRO DO PRAZO</v>
      </c>
    </row>
    <row r="116" spans="1:19">
      <c r="A116" s="37">
        <v>43518</v>
      </c>
      <c r="B116" s="46">
        <f t="shared" si="6"/>
        <v>2</v>
      </c>
      <c r="C116" s="34" t="s">
        <v>159</v>
      </c>
      <c r="D116" s="33">
        <v>540</v>
      </c>
      <c r="E116" s="35" t="s">
        <v>8</v>
      </c>
      <c r="F116" s="33" t="s">
        <v>17</v>
      </c>
      <c r="G116" s="33" t="s">
        <v>22</v>
      </c>
      <c r="I116" s="47">
        <f>IFERROR(INDEX(TBL_Frete!$A$1:$J$58,MATCH(IF($D116="","",VLOOKUP(D116,TBL_Frete!A:B,2,1)),TBL_Frete!B:B,0),MATCH(BD!E116,TBL_Frete!$A$1:$J$1,0)),"")+H116</f>
        <v>1217.47</v>
      </c>
      <c r="J116" s="47">
        <f t="shared" si="7"/>
        <v>1071.3736000000001</v>
      </c>
      <c r="K116" s="36">
        <v>900</v>
      </c>
      <c r="L116" s="48">
        <f t="shared" si="12"/>
        <v>171.37360000000012</v>
      </c>
      <c r="M116" s="44">
        <v>43521.333333333336</v>
      </c>
      <c r="N116" s="37">
        <v>43521</v>
      </c>
      <c r="O116" s="38">
        <v>0.33333333333333331</v>
      </c>
      <c r="P116" s="46" t="str">
        <f t="shared" si="13"/>
        <v>DENTRO DO PRAZO</v>
      </c>
      <c r="Q116" s="49">
        <f t="shared" si="10"/>
        <v>43523</v>
      </c>
      <c r="R116" s="37">
        <v>43523</v>
      </c>
      <c r="S116" s="49" t="str">
        <f t="shared" si="11"/>
        <v>FORA DO PRAZO</v>
      </c>
    </row>
    <row r="117" spans="1:19">
      <c r="A117" s="37">
        <v>43519</v>
      </c>
      <c r="B117" s="46">
        <f t="shared" si="6"/>
        <v>2</v>
      </c>
      <c r="C117" s="34" t="s">
        <v>160</v>
      </c>
      <c r="D117" s="33">
        <v>670</v>
      </c>
      <c r="E117" s="35" t="s">
        <v>10</v>
      </c>
      <c r="F117" s="33" t="s">
        <v>17</v>
      </c>
      <c r="G117" s="33" t="s">
        <v>51</v>
      </c>
      <c r="I117" s="47">
        <f>IFERROR(INDEX(TBL_Frete!$A$1:$J$58,MATCH(IF($D117="","",VLOOKUP(D117,TBL_Frete!A:B,2,1)),TBL_Frete!B:B,0),MATCH(BD!E117,TBL_Frete!$A$1:$J$1,0)),"")+H117</f>
        <v>1642.5</v>
      </c>
      <c r="J117" s="47">
        <f t="shared" si="7"/>
        <v>1445.4</v>
      </c>
      <c r="K117" s="36">
        <v>1050</v>
      </c>
      <c r="L117" s="48">
        <f t="shared" si="12"/>
        <v>395.40000000000009</v>
      </c>
      <c r="M117" s="44">
        <v>43521.333333333336</v>
      </c>
      <c r="N117" s="37">
        <v>43521</v>
      </c>
      <c r="O117" s="38">
        <v>0.375</v>
      </c>
      <c r="P117" s="46" t="str">
        <f t="shared" si="13"/>
        <v>FORA DO PRAZO</v>
      </c>
      <c r="Q117" s="49">
        <f t="shared" si="10"/>
        <v>43523</v>
      </c>
      <c r="R117" s="37">
        <v>43521</v>
      </c>
      <c r="S117" s="49" t="str">
        <f t="shared" si="11"/>
        <v>DENTRO DO PRAZO</v>
      </c>
    </row>
    <row r="118" spans="1:19">
      <c r="A118" s="37">
        <v>43521</v>
      </c>
      <c r="B118" s="46">
        <f t="shared" si="6"/>
        <v>2</v>
      </c>
      <c r="C118" s="34" t="s">
        <v>161</v>
      </c>
      <c r="D118" s="33">
        <v>50</v>
      </c>
      <c r="E118" s="35" t="s">
        <v>8</v>
      </c>
      <c r="F118" s="33" t="s">
        <v>83</v>
      </c>
      <c r="G118" s="33" t="s">
        <v>92</v>
      </c>
      <c r="I118" s="47">
        <f>IFERROR(INDEX(TBL_Frete!$A$1:$J$58,MATCH(IF($D118="","",VLOOKUP(D118,TBL_Frete!A:B,2,1)),TBL_Frete!B:B,0),MATCH(BD!E118,TBL_Frete!$A$1:$J$1,0)),"")+H118</f>
        <v>390</v>
      </c>
      <c r="J118" s="47">
        <f t="shared" si="7"/>
        <v>343.2</v>
      </c>
      <c r="K118" s="36">
        <v>230</v>
      </c>
      <c r="L118" s="48">
        <f t="shared" si="12"/>
        <v>113.19999999999999</v>
      </c>
      <c r="M118" s="44">
        <v>43521.75</v>
      </c>
      <c r="N118" s="37">
        <v>43521</v>
      </c>
      <c r="O118" s="38">
        <v>0.76388888888888884</v>
      </c>
      <c r="P118" s="46" t="str">
        <f t="shared" si="13"/>
        <v>FORA DO PRAZO</v>
      </c>
      <c r="Q118" s="49">
        <f t="shared" si="10"/>
        <v>43523</v>
      </c>
      <c r="R118" s="37">
        <v>43523</v>
      </c>
      <c r="S118" s="49" t="str">
        <f t="shared" si="11"/>
        <v>FORA DO PRAZO</v>
      </c>
    </row>
    <row r="119" spans="1:19">
      <c r="A119" s="37">
        <v>43521</v>
      </c>
      <c r="B119" s="46">
        <f t="shared" si="6"/>
        <v>2</v>
      </c>
      <c r="C119" s="34">
        <v>2020022300138</v>
      </c>
      <c r="D119" s="33">
        <v>581</v>
      </c>
      <c r="E119" s="35" t="s">
        <v>12</v>
      </c>
      <c r="F119" s="33" t="s">
        <v>17</v>
      </c>
      <c r="G119" s="33" t="s">
        <v>18</v>
      </c>
      <c r="I119" s="47">
        <f>IFERROR(INDEX(TBL_Frete!$A$1:$J$58,MATCH(IF($D119="","",VLOOKUP(D119,TBL_Frete!A:B,2,1)),TBL_Frete!B:B,0),MATCH(BD!E119,TBL_Frete!$A$1:$J$1,0)),"")+H119</f>
        <v>1991.4</v>
      </c>
      <c r="J119" s="47">
        <f t="shared" si="7"/>
        <v>1752.432</v>
      </c>
      <c r="K119" s="36">
        <v>1750</v>
      </c>
      <c r="L119" s="48">
        <f t="shared" si="12"/>
        <v>2.4320000000000164</v>
      </c>
      <c r="M119" s="44">
        <v>43522.458333333336</v>
      </c>
      <c r="N119" s="37">
        <v>43522</v>
      </c>
      <c r="O119" s="38">
        <v>0.375</v>
      </c>
      <c r="P119" s="46" t="str">
        <f t="shared" si="13"/>
        <v>DENTRO DO PRAZO</v>
      </c>
      <c r="Q119" s="49">
        <f t="shared" si="10"/>
        <v>43524</v>
      </c>
      <c r="R119" s="37">
        <v>43524</v>
      </c>
      <c r="S119" s="49" t="str">
        <f t="shared" si="11"/>
        <v>FORA DO PRAZO</v>
      </c>
    </row>
    <row r="120" spans="1:19">
      <c r="A120" s="37">
        <v>43521</v>
      </c>
      <c r="B120" s="46">
        <f t="shared" si="6"/>
        <v>2</v>
      </c>
      <c r="C120" s="34" t="s">
        <v>162</v>
      </c>
      <c r="D120" s="33">
        <v>537</v>
      </c>
      <c r="E120" s="35" t="s">
        <v>8</v>
      </c>
      <c r="F120" s="33" t="s">
        <v>17</v>
      </c>
      <c r="G120" s="33" t="s">
        <v>22</v>
      </c>
      <c r="I120" s="47">
        <f>IFERROR(INDEX(TBL_Frete!$A$1:$J$58,MATCH(IF($D120="","",VLOOKUP(D120,TBL_Frete!A:B,2,1)),TBL_Frete!B:B,0),MATCH(BD!E120,TBL_Frete!$A$1:$J$1,0)),"")+H120</f>
        <v>1217.47</v>
      </c>
      <c r="J120" s="47">
        <f t="shared" si="7"/>
        <v>1071.3736000000001</v>
      </c>
      <c r="K120" s="36">
        <v>900</v>
      </c>
      <c r="L120" s="48">
        <f t="shared" si="12"/>
        <v>171.37360000000012</v>
      </c>
      <c r="M120" s="44">
        <v>43522.333333333336</v>
      </c>
      <c r="N120" s="37">
        <v>43522</v>
      </c>
      <c r="O120" s="38">
        <v>0.33333333333333331</v>
      </c>
      <c r="P120" s="46" t="str">
        <f t="shared" si="13"/>
        <v>DENTRO DO PRAZO</v>
      </c>
      <c r="Q120" s="49">
        <f t="shared" si="10"/>
        <v>43524</v>
      </c>
      <c r="R120" s="37">
        <v>43523</v>
      </c>
      <c r="S120" s="49" t="str">
        <f t="shared" si="11"/>
        <v>FORA DO PRAZO</v>
      </c>
    </row>
    <row r="121" spans="1:19">
      <c r="A121" s="37">
        <v>43522</v>
      </c>
      <c r="B121" s="46">
        <f t="shared" si="6"/>
        <v>2</v>
      </c>
      <c r="C121" s="34">
        <v>2020022600181</v>
      </c>
      <c r="D121" s="33">
        <v>530</v>
      </c>
      <c r="E121" s="35" t="s">
        <v>10</v>
      </c>
      <c r="F121" s="33" t="s">
        <v>17</v>
      </c>
      <c r="G121" s="33" t="s">
        <v>80</v>
      </c>
      <c r="I121" s="47">
        <f>IFERROR(INDEX(TBL_Frete!$A$1:$J$58,MATCH(IF($D121="","",VLOOKUP(D121,TBL_Frete!A:B,2,1)),TBL_Frete!B:B,0),MATCH(BD!E121,TBL_Frete!$A$1:$J$1,0)),"")+H121</f>
        <v>1266.1199999999999</v>
      </c>
      <c r="J121" s="47">
        <f t="shared" si="7"/>
        <v>1114.1855999999998</v>
      </c>
      <c r="K121" s="36">
        <v>1050</v>
      </c>
      <c r="L121" s="48">
        <f t="shared" si="12"/>
        <v>64.185599999999795</v>
      </c>
      <c r="M121" s="44">
        <v>43523.416666666664</v>
      </c>
      <c r="N121" s="37">
        <v>43523</v>
      </c>
      <c r="O121" s="38">
        <v>0.41666666666666669</v>
      </c>
      <c r="P121" s="46" t="str">
        <f t="shared" si="13"/>
        <v>DENTRO DO PRAZO</v>
      </c>
      <c r="Q121" s="49">
        <f t="shared" si="10"/>
        <v>43525</v>
      </c>
      <c r="R121" s="37">
        <v>43523</v>
      </c>
      <c r="S121" s="49" t="str">
        <f t="shared" si="11"/>
        <v>DENTRO DO PRAZO</v>
      </c>
    </row>
    <row r="122" spans="1:19">
      <c r="A122" s="37">
        <v>43522</v>
      </c>
      <c r="B122" s="46">
        <f t="shared" si="6"/>
        <v>2</v>
      </c>
      <c r="C122" s="34">
        <v>2020022600187</v>
      </c>
      <c r="D122" s="33">
        <v>530</v>
      </c>
      <c r="E122" s="35" t="s">
        <v>12</v>
      </c>
      <c r="F122" s="33" t="s">
        <v>17</v>
      </c>
      <c r="G122" s="33" t="s">
        <v>98</v>
      </c>
      <c r="H122" s="36">
        <v>372</v>
      </c>
      <c r="I122" s="47">
        <f>IFERROR(INDEX(TBL_Frete!$A$1:$J$58,MATCH(IF($D122="","",VLOOKUP(D122,TBL_Frete!A:B,2,1)),TBL_Frete!B:B,0),MATCH(BD!E122,TBL_Frete!$A$1:$J$1,0)),"")+H122</f>
        <v>2182.48</v>
      </c>
      <c r="J122" s="47">
        <f t="shared" si="7"/>
        <v>1920.5824</v>
      </c>
      <c r="K122" s="36">
        <v>1550</v>
      </c>
      <c r="L122" s="48">
        <f t="shared" si="12"/>
        <v>370.58240000000001</v>
      </c>
      <c r="M122" s="44">
        <v>43523.375</v>
      </c>
      <c r="N122" s="37">
        <v>43522</v>
      </c>
      <c r="O122" s="38">
        <v>0.35416666666666669</v>
      </c>
      <c r="P122" s="46" t="str">
        <f t="shared" si="13"/>
        <v>DENTRO DO PRAZO</v>
      </c>
      <c r="Q122" s="49">
        <f t="shared" si="10"/>
        <v>43524</v>
      </c>
      <c r="R122" s="37">
        <v>43524</v>
      </c>
      <c r="S122" s="49" t="str">
        <f t="shared" si="11"/>
        <v>FORA DO PRAZO</v>
      </c>
    </row>
    <row r="123" spans="1:19">
      <c r="A123" s="37">
        <v>43522</v>
      </c>
      <c r="B123" s="46">
        <f t="shared" si="6"/>
        <v>2</v>
      </c>
      <c r="C123" s="34">
        <v>2020022600190</v>
      </c>
      <c r="D123" s="33">
        <v>584</v>
      </c>
      <c r="E123" s="35" t="s">
        <v>12</v>
      </c>
      <c r="F123" s="33" t="s">
        <v>17</v>
      </c>
      <c r="G123" s="33" t="s">
        <v>99</v>
      </c>
      <c r="H123" s="36">
        <v>144</v>
      </c>
      <c r="I123" s="47">
        <f>IFERROR(INDEX(TBL_Frete!$A$1:$J$58,MATCH(IF($D123="","",VLOOKUP(D123,TBL_Frete!A:B,2,1)),TBL_Frete!B:B,0),MATCH(BD!E123,TBL_Frete!$A$1:$J$1,0)),"")+H123</f>
        <v>2135.4</v>
      </c>
      <c r="J123" s="47">
        <f t="shared" si="7"/>
        <v>1879.152</v>
      </c>
      <c r="K123" s="36">
        <v>1750</v>
      </c>
      <c r="L123" s="48">
        <f t="shared" si="12"/>
        <v>129.15200000000004</v>
      </c>
      <c r="M123" s="44">
        <v>43523.416666666664</v>
      </c>
      <c r="N123" s="37">
        <v>43523</v>
      </c>
      <c r="O123" s="38">
        <v>0.41666666666666669</v>
      </c>
      <c r="P123" s="46" t="str">
        <f t="shared" si="13"/>
        <v>DENTRO DO PRAZO</v>
      </c>
      <c r="Q123" s="49">
        <f t="shared" si="10"/>
        <v>43525</v>
      </c>
      <c r="R123" s="37">
        <v>43524</v>
      </c>
      <c r="S123" s="49" t="str">
        <f t="shared" si="11"/>
        <v>FORA DO PRAZO</v>
      </c>
    </row>
    <row r="124" spans="1:19">
      <c r="A124" s="37">
        <v>43522</v>
      </c>
      <c r="B124" s="46">
        <f t="shared" si="6"/>
        <v>2</v>
      </c>
      <c r="C124" s="34">
        <v>2020022600236</v>
      </c>
      <c r="D124" s="33">
        <v>581</v>
      </c>
      <c r="E124" s="35" t="s">
        <v>10</v>
      </c>
      <c r="F124" s="33" t="s">
        <v>17</v>
      </c>
      <c r="G124" s="33" t="s">
        <v>18</v>
      </c>
      <c r="I124" s="47">
        <f>IFERROR(INDEX(TBL_Frete!$A$1:$J$58,MATCH(IF($D124="","",VLOOKUP(D124,TBL_Frete!A:B,2,1)),TBL_Frete!B:B,0),MATCH(BD!E124,TBL_Frete!$A$1:$J$1,0)),"")+H124</f>
        <v>1355.4</v>
      </c>
      <c r="J124" s="47">
        <f t="shared" si="7"/>
        <v>1192.7520000000002</v>
      </c>
      <c r="K124" s="36">
        <v>1000</v>
      </c>
      <c r="L124" s="48">
        <f t="shared" si="12"/>
        <v>192.75200000000018</v>
      </c>
      <c r="M124" s="44">
        <v>43523.458333333336</v>
      </c>
      <c r="N124" s="37">
        <v>43523</v>
      </c>
      <c r="O124" s="38">
        <v>0.45833333333333331</v>
      </c>
      <c r="P124" s="46" t="str">
        <f t="shared" si="13"/>
        <v>DENTRO DO PRAZO</v>
      </c>
      <c r="Q124" s="49">
        <f t="shared" si="10"/>
        <v>43525</v>
      </c>
      <c r="R124" s="37">
        <v>43523</v>
      </c>
      <c r="S124" s="49" t="str">
        <f t="shared" si="11"/>
        <v>DENTRO DO PRAZO</v>
      </c>
    </row>
    <row r="125" spans="1:19">
      <c r="A125" s="37">
        <v>43522</v>
      </c>
      <c r="B125" s="46">
        <f t="shared" si="6"/>
        <v>2</v>
      </c>
      <c r="C125" s="34" t="s">
        <v>163</v>
      </c>
      <c r="D125" s="33">
        <v>566</v>
      </c>
      <c r="E125" s="35" t="s">
        <v>8</v>
      </c>
      <c r="F125" s="33" t="s">
        <v>17</v>
      </c>
      <c r="G125" s="33" t="s">
        <v>22</v>
      </c>
      <c r="I125" s="47">
        <f>IFERROR(INDEX(TBL_Frete!$A$1:$J$58,MATCH(IF($D125="","",VLOOKUP(D125,TBL_Frete!A:B,2,1)),TBL_Frete!B:B,0),MATCH(BD!E125,TBL_Frete!$A$1:$J$1,0)),"")+H125</f>
        <v>1303.184</v>
      </c>
      <c r="J125" s="47">
        <f t="shared" si="7"/>
        <v>1146.8019199999999</v>
      </c>
      <c r="K125" s="36">
        <v>950</v>
      </c>
      <c r="L125" s="48">
        <f t="shared" si="12"/>
        <v>196.80191999999988</v>
      </c>
      <c r="M125" s="44">
        <v>43523.333333333336</v>
      </c>
      <c r="N125" s="37">
        <v>43523</v>
      </c>
      <c r="O125" s="38">
        <v>0.45833333333333331</v>
      </c>
      <c r="P125" s="46" t="str">
        <f t="shared" si="13"/>
        <v>FORA DO PRAZO</v>
      </c>
      <c r="Q125" s="49">
        <f t="shared" si="10"/>
        <v>43525</v>
      </c>
      <c r="R125" s="37">
        <v>43524</v>
      </c>
      <c r="S125" s="49" t="str">
        <f t="shared" si="11"/>
        <v>FORA DO PRAZO</v>
      </c>
    </row>
    <row r="126" spans="1:19">
      <c r="A126" s="37">
        <v>43522</v>
      </c>
      <c r="B126" s="46">
        <f t="shared" si="6"/>
        <v>2</v>
      </c>
      <c r="C126" s="34" t="s">
        <v>164</v>
      </c>
      <c r="D126" s="33">
        <v>499</v>
      </c>
      <c r="E126" s="35" t="s">
        <v>8</v>
      </c>
      <c r="F126" s="33" t="s">
        <v>17</v>
      </c>
      <c r="G126" s="33" t="s">
        <v>27</v>
      </c>
      <c r="I126" s="47">
        <f>IFERROR(INDEX(TBL_Frete!$A$1:$J$58,MATCH(IF($D126="","",VLOOKUP(D126,TBL_Frete!A:B,2,1)),TBL_Frete!B:B,0),MATCH(BD!E126,TBL_Frete!$A$1:$J$1,0)),"")+H126</f>
        <v>1103.21</v>
      </c>
      <c r="J126" s="47">
        <f t="shared" si="7"/>
        <v>970.8248000000001</v>
      </c>
      <c r="K126" s="36">
        <v>800</v>
      </c>
      <c r="L126" s="48">
        <f t="shared" si="12"/>
        <v>170.8248000000001</v>
      </c>
      <c r="M126" s="44">
        <v>43523.333333333336</v>
      </c>
      <c r="N126" s="37">
        <v>43523</v>
      </c>
      <c r="O126" s="38">
        <v>0.33333333333333331</v>
      </c>
      <c r="P126" s="46" t="str">
        <f t="shared" si="13"/>
        <v>DENTRO DO PRAZO</v>
      </c>
      <c r="Q126" s="49">
        <f t="shared" si="10"/>
        <v>43525</v>
      </c>
      <c r="R126" s="37">
        <v>43524</v>
      </c>
      <c r="S126" s="49" t="str">
        <f t="shared" si="11"/>
        <v>FORA DO PRAZO</v>
      </c>
    </row>
    <row r="127" spans="1:19">
      <c r="A127" s="37">
        <v>43523</v>
      </c>
      <c r="B127" s="46">
        <f t="shared" si="6"/>
        <v>2</v>
      </c>
      <c r="C127" s="34">
        <v>2020022700103</v>
      </c>
      <c r="D127" s="33">
        <v>540</v>
      </c>
      <c r="E127" s="35" t="s">
        <v>15</v>
      </c>
      <c r="F127" s="33" t="s">
        <v>17</v>
      </c>
      <c r="G127" s="33" t="s">
        <v>100</v>
      </c>
      <c r="I127" s="47">
        <f>IFERROR(INDEX(TBL_Frete!$A$1:$J$58,MATCH(IF($D127="","",VLOOKUP(D127,TBL_Frete!A:B,2,1)),TBL_Frete!B:B,0),MATCH(BD!E127,TBL_Frete!$A$1:$J$1,0)),"")+H127</f>
        <v>3409.24</v>
      </c>
      <c r="J127" s="47">
        <f t="shared" si="7"/>
        <v>3000.1311999999998</v>
      </c>
      <c r="K127" s="36">
        <v>2850</v>
      </c>
      <c r="L127" s="48">
        <f t="shared" si="12"/>
        <v>150.13119999999981</v>
      </c>
      <c r="M127" s="44">
        <v>43524.375</v>
      </c>
      <c r="N127" s="37">
        <v>43524</v>
      </c>
      <c r="O127" s="38">
        <v>0.33333333333333331</v>
      </c>
      <c r="P127" s="46" t="str">
        <f t="shared" si="13"/>
        <v>DENTRO DO PRAZO</v>
      </c>
      <c r="Q127" s="49">
        <f t="shared" si="10"/>
        <v>43528</v>
      </c>
      <c r="R127" s="37">
        <v>43525</v>
      </c>
      <c r="S127" s="49" t="str">
        <f t="shared" si="11"/>
        <v>FORA DO PRAZO</v>
      </c>
    </row>
    <row r="128" spans="1:19">
      <c r="A128" s="37">
        <v>43523</v>
      </c>
      <c r="B128" s="46">
        <f t="shared" si="6"/>
        <v>2</v>
      </c>
      <c r="C128" s="34">
        <v>2020022700072</v>
      </c>
      <c r="D128" s="33">
        <v>540</v>
      </c>
      <c r="E128" s="35" t="s">
        <v>12</v>
      </c>
      <c r="F128" s="33" t="s">
        <v>17</v>
      </c>
      <c r="G128" s="33" t="s">
        <v>100</v>
      </c>
      <c r="I128" s="47">
        <f>IFERROR(INDEX(TBL_Frete!$A$1:$J$58,MATCH(IF($D128="","",VLOOKUP(D128,TBL_Frete!A:B,2,1)),TBL_Frete!B:B,0),MATCH(BD!E128,TBL_Frete!$A$1:$J$1,0)),"")+H128</f>
        <v>1810.48</v>
      </c>
      <c r="J128" s="47">
        <f t="shared" si="7"/>
        <v>1593.2224000000001</v>
      </c>
      <c r="K128" s="36">
        <v>1450</v>
      </c>
      <c r="L128" s="48">
        <f t="shared" si="12"/>
        <v>143.22240000000011</v>
      </c>
      <c r="M128" s="44">
        <v>43524.375</v>
      </c>
      <c r="N128" s="37">
        <v>43524</v>
      </c>
      <c r="O128" s="38">
        <v>0.375</v>
      </c>
      <c r="P128" s="46" t="str">
        <f t="shared" si="13"/>
        <v>DENTRO DO PRAZO</v>
      </c>
      <c r="Q128" s="49">
        <f t="shared" si="10"/>
        <v>43528</v>
      </c>
      <c r="R128" s="37">
        <v>43525</v>
      </c>
      <c r="S128" s="49" t="str">
        <f t="shared" si="11"/>
        <v>FORA DO PRAZO</v>
      </c>
    </row>
    <row r="129" spans="1:19">
      <c r="A129" s="37">
        <v>43524</v>
      </c>
      <c r="B129" s="46">
        <f t="shared" si="6"/>
        <v>2</v>
      </c>
      <c r="C129" s="34">
        <v>2020022200056</v>
      </c>
      <c r="D129" s="33">
        <v>581</v>
      </c>
      <c r="E129" s="35" t="s">
        <v>14</v>
      </c>
      <c r="F129" s="33" t="s">
        <v>17</v>
      </c>
      <c r="G129" s="33" t="s">
        <v>18</v>
      </c>
      <c r="I129" s="47">
        <f>IFERROR(INDEX(TBL_Frete!$A$1:$J$58,MATCH(IF($D129="","",VLOOKUP(D129,TBL_Frete!A:B,2,1)),TBL_Frete!B:B,0),MATCH(BD!E129,TBL_Frete!$A$1:$J$1,0)),"")+H129</f>
        <v>2826.95</v>
      </c>
      <c r="J129" s="47">
        <f t="shared" si="7"/>
        <v>2487.7159999999999</v>
      </c>
      <c r="K129" s="36">
        <v>2350</v>
      </c>
      <c r="L129" s="48">
        <f t="shared" si="12"/>
        <v>137.71599999999989</v>
      </c>
      <c r="M129" s="44">
        <v>43524.541666666664</v>
      </c>
      <c r="N129" s="37">
        <v>43524</v>
      </c>
      <c r="O129" s="38">
        <v>0.64583333333333337</v>
      </c>
      <c r="P129" s="46" t="str">
        <f t="shared" si="13"/>
        <v>FORA DO PRAZO</v>
      </c>
      <c r="Q129" s="49">
        <f t="shared" si="10"/>
        <v>43528</v>
      </c>
      <c r="R129" s="37">
        <v>43525</v>
      </c>
      <c r="S129" s="49" t="str">
        <f t="shared" si="11"/>
        <v>FORA DO PRAZO</v>
      </c>
    </row>
    <row r="130" spans="1:19">
      <c r="A130" s="37">
        <v>43524</v>
      </c>
      <c r="B130" s="46">
        <f t="shared" ref="B130:B137" si="14">MONTH(A130)</f>
        <v>2</v>
      </c>
      <c r="C130" s="34">
        <v>2020022200056</v>
      </c>
      <c r="D130" s="33">
        <v>581</v>
      </c>
      <c r="E130" s="35" t="s">
        <v>12</v>
      </c>
      <c r="F130" s="33" t="s">
        <v>17</v>
      </c>
      <c r="G130" s="33" t="s">
        <v>18</v>
      </c>
      <c r="I130" s="47">
        <f>IFERROR(INDEX(TBL_Frete!$A$1:$J$58,MATCH(IF($D130="","",VLOOKUP(D130,TBL_Frete!A:B,2,1)),TBL_Frete!B:B,0),MATCH(BD!E130,TBL_Frete!$A$1:$J$1,0)),"")+H130</f>
        <v>1991.4</v>
      </c>
      <c r="J130" s="47">
        <f t="shared" si="7"/>
        <v>1752.432</v>
      </c>
      <c r="K130" s="36">
        <v>1750</v>
      </c>
      <c r="L130" s="48">
        <f t="shared" si="12"/>
        <v>2.4320000000000164</v>
      </c>
      <c r="M130" s="44">
        <v>43524.541666666664</v>
      </c>
      <c r="N130" s="37">
        <v>43524</v>
      </c>
      <c r="O130" s="38">
        <v>0.64583333333333337</v>
      </c>
      <c r="P130" s="46" t="str">
        <f t="shared" si="13"/>
        <v>FORA DO PRAZO</v>
      </c>
      <c r="Q130" s="49">
        <f t="shared" si="10"/>
        <v>43528</v>
      </c>
      <c r="R130" s="37">
        <v>43525</v>
      </c>
      <c r="S130" s="49" t="str">
        <f t="shared" si="11"/>
        <v>FORA DO PRAZO</v>
      </c>
    </row>
    <row r="131" spans="1:19">
      <c r="A131" s="37">
        <v>43524</v>
      </c>
      <c r="B131" s="46">
        <f t="shared" si="14"/>
        <v>2</v>
      </c>
      <c r="C131" s="34">
        <v>2020022801139</v>
      </c>
      <c r="D131" s="33">
        <v>540</v>
      </c>
      <c r="E131" s="35" t="s">
        <v>15</v>
      </c>
      <c r="F131" s="33" t="s">
        <v>17</v>
      </c>
      <c r="G131" s="33" t="s">
        <v>101</v>
      </c>
      <c r="I131" s="47">
        <f>IFERROR(INDEX(TBL_Frete!$A$1:$J$58,MATCH(IF($D131="","",VLOOKUP(D131,TBL_Frete!A:B,2,1)),TBL_Frete!B:B,0),MATCH(BD!E131,TBL_Frete!$A$1:$J$1,0)),"")+H131</f>
        <v>3409.24</v>
      </c>
      <c r="J131" s="47">
        <f t="shared" ref="J131:J137" si="15">(I131-(I131*12%))</f>
        <v>3000.1311999999998</v>
      </c>
      <c r="K131" s="36">
        <v>2750</v>
      </c>
      <c r="L131" s="48">
        <f t="shared" si="12"/>
        <v>250.13119999999981</v>
      </c>
      <c r="M131" s="44">
        <v>43525.375</v>
      </c>
      <c r="N131" s="37">
        <v>43525</v>
      </c>
      <c r="O131" s="38">
        <v>0.375</v>
      </c>
      <c r="P131" s="46" t="str">
        <f t="shared" si="13"/>
        <v>DENTRO DO PRAZO</v>
      </c>
      <c r="Q131" s="49">
        <f t="shared" ref="Q131:Q136" si="16">IF(WEEKDAY(N131+2,1)=7,N131+4,IF(WEEKDAY(N131+2)=1,N131+3,N131+2))</f>
        <v>43528</v>
      </c>
      <c r="R131" s="37">
        <v>43530</v>
      </c>
      <c r="S131" s="49" t="str">
        <f t="shared" ref="S131:S136" si="17">IF(R131&gt;SUM(N131,O131),"FORA DO PRAZO","DENTRO DO PRAZO")</f>
        <v>FORA DO PRAZO</v>
      </c>
    </row>
    <row r="132" spans="1:19">
      <c r="A132" s="37">
        <v>43524</v>
      </c>
      <c r="B132" s="46">
        <f t="shared" si="14"/>
        <v>2</v>
      </c>
      <c r="C132" s="34">
        <v>2020022800764</v>
      </c>
      <c r="D132" s="33">
        <v>540</v>
      </c>
      <c r="E132" s="35" t="s">
        <v>12</v>
      </c>
      <c r="F132" s="33" t="s">
        <v>17</v>
      </c>
      <c r="G132" s="33" t="s">
        <v>101</v>
      </c>
      <c r="I132" s="47">
        <f>IFERROR(INDEX(TBL_Frete!$A$1:$J$58,MATCH(IF($D132="","",VLOOKUP(D132,TBL_Frete!A:B,2,1)),TBL_Frete!B:B,0),MATCH(BD!E132,TBL_Frete!$A$1:$J$1,0)),"")+H132</f>
        <v>1810.48</v>
      </c>
      <c r="J132" s="47">
        <f t="shared" si="15"/>
        <v>1593.2224000000001</v>
      </c>
      <c r="K132" s="36">
        <v>1650</v>
      </c>
      <c r="L132" s="48">
        <f t="shared" si="12"/>
        <v>-56.777599999999893</v>
      </c>
      <c r="M132" s="44">
        <v>43525.375</v>
      </c>
      <c r="N132" s="37">
        <v>43525</v>
      </c>
      <c r="O132" s="38">
        <v>0.375</v>
      </c>
      <c r="P132" s="46" t="str">
        <f t="shared" si="13"/>
        <v>DENTRO DO PRAZO</v>
      </c>
      <c r="Q132" s="49">
        <f t="shared" si="16"/>
        <v>43528</v>
      </c>
      <c r="R132" s="37">
        <v>43525</v>
      </c>
      <c r="S132" s="49" t="str">
        <f t="shared" si="17"/>
        <v>DENTRO DO PRAZO</v>
      </c>
    </row>
    <row r="133" spans="1:19">
      <c r="A133" s="37">
        <v>43524</v>
      </c>
      <c r="B133" s="46">
        <f t="shared" si="14"/>
        <v>2</v>
      </c>
      <c r="C133" s="34">
        <v>2020022800166</v>
      </c>
      <c r="D133" s="33">
        <v>540</v>
      </c>
      <c r="E133" s="35" t="s">
        <v>12</v>
      </c>
      <c r="F133" s="33" t="s">
        <v>17</v>
      </c>
      <c r="G133" s="33" t="s">
        <v>80</v>
      </c>
      <c r="H133" s="36">
        <v>735</v>
      </c>
      <c r="I133" s="47">
        <f>IFERROR(INDEX(TBL_Frete!$A$1:$J$58,MATCH(IF($D133="","",VLOOKUP(D133,TBL_Frete!A:B,2,1)),TBL_Frete!B:B,0),MATCH(BD!E133,TBL_Frete!$A$1:$J$1,0)),"")+H133</f>
        <v>2545.48</v>
      </c>
      <c r="J133" s="47">
        <f t="shared" si="15"/>
        <v>2240.0223999999998</v>
      </c>
      <c r="K133" s="36">
        <v>2070</v>
      </c>
      <c r="L133" s="48">
        <f t="shared" si="12"/>
        <v>170.02239999999983</v>
      </c>
      <c r="M133" s="44">
        <v>43525.375</v>
      </c>
      <c r="N133" s="37">
        <v>43525</v>
      </c>
      <c r="O133" s="38">
        <v>0.375</v>
      </c>
      <c r="P133" s="46" t="str">
        <f t="shared" si="13"/>
        <v>DENTRO DO PRAZO</v>
      </c>
      <c r="Q133" s="49">
        <f t="shared" si="16"/>
        <v>43528</v>
      </c>
      <c r="R133" s="37">
        <v>43525</v>
      </c>
      <c r="S133" s="49" t="str">
        <f t="shared" si="17"/>
        <v>DENTRO DO PRAZO</v>
      </c>
    </row>
    <row r="134" spans="1:19">
      <c r="A134" s="37">
        <v>43524</v>
      </c>
      <c r="B134" s="46">
        <f t="shared" si="14"/>
        <v>2</v>
      </c>
      <c r="C134" s="34">
        <v>2020022800164</v>
      </c>
      <c r="D134" s="33">
        <v>530</v>
      </c>
      <c r="E134" s="35" t="s">
        <v>10</v>
      </c>
      <c r="F134" s="33" t="s">
        <v>17</v>
      </c>
      <c r="G134" s="33" t="s">
        <v>22</v>
      </c>
      <c r="I134" s="47">
        <f>IFERROR(INDEX(TBL_Frete!$A$1:$J$58,MATCH(IF($D134="","",VLOOKUP(D134,TBL_Frete!A:B,2,1)),TBL_Frete!B:B,0),MATCH(BD!E134,TBL_Frete!$A$1:$J$1,0)),"")+H134</f>
        <v>1266.1199999999999</v>
      </c>
      <c r="J134" s="47">
        <f t="shared" si="15"/>
        <v>1114.1855999999998</v>
      </c>
      <c r="K134" s="36">
        <v>1050</v>
      </c>
      <c r="L134" s="48">
        <f t="shared" si="12"/>
        <v>64.185599999999795</v>
      </c>
      <c r="M134" s="44">
        <v>43709.395833333336</v>
      </c>
      <c r="N134" s="37">
        <v>43525</v>
      </c>
      <c r="O134" s="38">
        <v>0.39583333333333331</v>
      </c>
      <c r="P134" s="46" t="str">
        <f t="shared" si="13"/>
        <v>DENTRO DO PRAZO</v>
      </c>
      <c r="Q134" s="49">
        <f t="shared" si="16"/>
        <v>43528</v>
      </c>
      <c r="R134" s="37">
        <v>43525</v>
      </c>
      <c r="S134" s="49" t="str">
        <f t="shared" si="17"/>
        <v>DENTRO DO PRAZO</v>
      </c>
    </row>
    <row r="135" spans="1:19">
      <c r="A135" s="37">
        <v>43524</v>
      </c>
      <c r="B135" s="46">
        <f t="shared" si="14"/>
        <v>2</v>
      </c>
      <c r="C135" s="34">
        <v>2020022800187</v>
      </c>
      <c r="D135" s="33">
        <v>540</v>
      </c>
      <c r="E135" s="35" t="s">
        <v>12</v>
      </c>
      <c r="F135" s="33" t="s">
        <v>17</v>
      </c>
      <c r="G135" s="33" t="s">
        <v>22</v>
      </c>
      <c r="I135" s="47">
        <f>IFERROR(INDEX(TBL_Frete!$A$1:$J$58,MATCH(IF($D135="","",VLOOKUP(D135,TBL_Frete!A:B,2,1)),TBL_Frete!B:B,0),MATCH(BD!E135,TBL_Frete!$A$1:$J$1,0)),"")+H135</f>
        <v>1810.48</v>
      </c>
      <c r="J135" s="47">
        <f t="shared" si="15"/>
        <v>1593.2224000000001</v>
      </c>
      <c r="K135" s="36">
        <v>1400</v>
      </c>
      <c r="L135" s="48">
        <f t="shared" si="12"/>
        <v>193.22240000000011</v>
      </c>
      <c r="M135" s="44">
        <v>43525.458333333336</v>
      </c>
      <c r="N135" s="37">
        <v>43522</v>
      </c>
      <c r="O135" s="38">
        <v>0.35416666666666669</v>
      </c>
      <c r="P135" s="46" t="str">
        <f t="shared" si="13"/>
        <v>DENTRO DO PRAZO</v>
      </c>
      <c r="Q135" s="49">
        <f t="shared" si="16"/>
        <v>43524</v>
      </c>
      <c r="R135" s="37">
        <v>43524</v>
      </c>
      <c r="S135" s="49" t="str">
        <f t="shared" si="17"/>
        <v>FORA DO PRAZO</v>
      </c>
    </row>
    <row r="136" spans="1:19">
      <c r="A136" s="37">
        <v>43524</v>
      </c>
      <c r="B136" s="46">
        <f t="shared" si="14"/>
        <v>2</v>
      </c>
      <c r="C136" s="34">
        <v>2020022800227</v>
      </c>
      <c r="D136" s="33">
        <v>682</v>
      </c>
      <c r="E136" s="35" t="s">
        <v>15</v>
      </c>
      <c r="F136" s="33" t="s">
        <v>17</v>
      </c>
      <c r="G136" s="33" t="s">
        <v>69</v>
      </c>
      <c r="H136" s="36">
        <v>100</v>
      </c>
      <c r="I136" s="47">
        <f>IFERROR(INDEX(TBL_Frete!$A$1:$J$58,MATCH(IF($D136="","",VLOOKUP(D136,TBL_Frete!A:B,2,1)),TBL_Frete!B:B,0),MATCH(BD!E136,TBL_Frete!$A$1:$J$1,0)),"")+H136</f>
        <v>4034.88</v>
      </c>
      <c r="J136" s="47">
        <f t="shared" si="15"/>
        <v>3550.6944000000003</v>
      </c>
      <c r="K136" s="36">
        <v>3650</v>
      </c>
      <c r="L136" s="48">
        <f t="shared" si="12"/>
        <v>-99.305599999999686</v>
      </c>
      <c r="M136" s="44">
        <v>43526.458333333336</v>
      </c>
      <c r="N136" s="37">
        <v>43525</v>
      </c>
      <c r="O136" s="38">
        <v>0.47222222222222227</v>
      </c>
      <c r="P136" s="46" t="str">
        <f t="shared" si="13"/>
        <v>DENTRO DO PRAZO</v>
      </c>
      <c r="Q136" s="49">
        <f t="shared" si="16"/>
        <v>43528</v>
      </c>
      <c r="R136" s="37">
        <v>43525</v>
      </c>
      <c r="S136" s="49" t="str">
        <f t="shared" si="17"/>
        <v>DENTRO DO PRAZO</v>
      </c>
    </row>
    <row r="137" spans="1:19">
      <c r="A137" s="37">
        <v>43524</v>
      </c>
      <c r="B137" s="46">
        <f t="shared" si="14"/>
        <v>2</v>
      </c>
      <c r="C137" s="34" t="s">
        <v>165</v>
      </c>
      <c r="D137" s="33">
        <v>540</v>
      </c>
      <c r="E137" s="35" t="s">
        <v>10</v>
      </c>
      <c r="F137" s="33" t="s">
        <v>17</v>
      </c>
      <c r="G137" s="33" t="s">
        <v>22</v>
      </c>
      <c r="I137" s="47">
        <f>IFERROR(INDEX(TBL_Frete!$A$1:$J$58,MATCH(IF($D137="","",VLOOKUP(D137,TBL_Frete!A:B,2,1)),TBL_Frete!B:B,0),MATCH(BD!E137,TBL_Frete!$A$1:$J$1,0)),"")+H137</f>
        <v>1266.1199999999999</v>
      </c>
      <c r="J137" s="47">
        <f t="shared" si="15"/>
        <v>1114.1855999999998</v>
      </c>
      <c r="K137" s="36">
        <v>1050</v>
      </c>
      <c r="L137" s="48">
        <f t="shared" si="12"/>
        <v>64.185599999999795</v>
      </c>
      <c r="M137" s="44">
        <v>43525.333333333336</v>
      </c>
      <c r="N137" s="37">
        <v>43525</v>
      </c>
      <c r="O137" s="38">
        <v>0.33333333333333331</v>
      </c>
      <c r="P137" s="46" t="str">
        <f t="shared" ref="P137" si="18">IF(AND(M137&lt;&gt;"",SUM(N137,O137)=""),"EM ROTA",IF(M137="","",IF(SUM(N137,O137)&gt;M137,"FORA DO PRAZO","DENTRO DO PRAZO")))</f>
        <v>DENTRO DO PRAZO</v>
      </c>
      <c r="Q137" s="49">
        <f t="shared" ref="Q137" si="19">IF(WEEKDAY(N137+2,1)=7,N137+4,IF(WEEKDAY(N137+2)=1,N137+3,N137+2))</f>
        <v>43528</v>
      </c>
      <c r="R137" s="37">
        <v>43530</v>
      </c>
      <c r="S137" s="49" t="str">
        <f t="shared" ref="S137" si="20">IF(R137&gt;SUM(N137,O137),"FORA DO PRAZO","DENTRO DO PRAZO")</f>
        <v>FORA DO PRAZO</v>
      </c>
    </row>
  </sheetData>
  <sheetProtection algorithmName="SHA-512" hashValue="iLVUskePcEeHmPaWe+zN+18LFRjJ7h5YFem/TagtysQGXijMLU+eCfQ7OyPxGlGOCT42kdXrS3HBJQZt5+604g==" saltValue="P+YqDM9ksYiIFoIecutRyQ==" spinCount="100000" sheet="1" objects="1" scenarios="1"/>
  <conditionalFormatting sqref="C1 C138:C1048576">
    <cfRule type="duplicateValues" dxfId="4" priority="3"/>
  </conditionalFormatting>
  <conditionalFormatting sqref="C2:C137">
    <cfRule type="duplicateValues" dxfId="3" priority="1"/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7755B-0802-4C0D-8F74-C8B68F51C850}">
  <dimension ref="A1:AO51"/>
  <sheetViews>
    <sheetView showGridLines="0" zoomScale="90" zoomScaleNormal="90" workbookViewId="0">
      <selection activeCell="Q20" sqref="Q20"/>
    </sheetView>
  </sheetViews>
  <sheetFormatPr defaultRowHeight="14.4"/>
  <cols>
    <col min="1" max="1" width="11.6640625" bestFit="1" customWidth="1"/>
    <col min="2" max="2" width="4.109375" bestFit="1" customWidth="1"/>
    <col min="3" max="3" width="12.6640625" bestFit="1" customWidth="1"/>
    <col min="4" max="4" width="23" bestFit="1" customWidth="1"/>
    <col min="5" max="5" width="21.5546875" bestFit="1" customWidth="1"/>
    <col min="6" max="6" width="12.6640625" bestFit="1" customWidth="1"/>
    <col min="7" max="7" width="11" bestFit="1" customWidth="1"/>
    <col min="8" max="8" width="12.109375" bestFit="1" customWidth="1"/>
    <col min="9" max="9" width="15" bestFit="1" customWidth="1"/>
    <col min="10" max="10" width="11.5546875" bestFit="1" customWidth="1"/>
    <col min="11" max="11" width="13.109375" bestFit="1" customWidth="1"/>
    <col min="12" max="15" width="12.109375" bestFit="1" customWidth="1"/>
    <col min="16" max="17" width="11" bestFit="1" customWidth="1"/>
    <col min="18" max="19" width="12.109375" bestFit="1" customWidth="1"/>
    <col min="20" max="20" width="10.88671875" bestFit="1" customWidth="1"/>
    <col min="21" max="21" width="10.5546875" bestFit="1" customWidth="1"/>
    <col min="22" max="22" width="13.109375" bestFit="1" customWidth="1"/>
    <col min="23" max="24" width="11" bestFit="1" customWidth="1"/>
    <col min="25" max="29" width="12.109375" bestFit="1" customWidth="1"/>
    <col min="30" max="31" width="11" bestFit="1" customWidth="1"/>
    <col min="32" max="34" width="12.109375" bestFit="1" customWidth="1"/>
    <col min="35" max="35" width="11" bestFit="1" customWidth="1"/>
    <col min="36" max="36" width="13.6640625" bestFit="1" customWidth="1"/>
    <col min="37" max="37" width="13" bestFit="1" customWidth="1"/>
    <col min="38" max="38" width="13.77734375" bestFit="1" customWidth="1"/>
    <col min="39" max="41" width="9" bestFit="1" customWidth="1"/>
  </cols>
  <sheetData>
    <row r="1" spans="2:41" s="9" customFormat="1"/>
    <row r="2" spans="2:41" s="9" customFormat="1"/>
    <row r="3" spans="2:41" s="9" customFormat="1"/>
    <row r="4" spans="2:41" s="9" customFormat="1"/>
    <row r="5" spans="2:41" s="9" customFormat="1"/>
    <row r="6" spans="2:41" s="8" customFormat="1">
      <c r="E6" s="8">
        <v>1</v>
      </c>
      <c r="F6" s="8">
        <v>2</v>
      </c>
      <c r="G6" s="8">
        <v>3</v>
      </c>
      <c r="H6" s="8">
        <v>4</v>
      </c>
      <c r="I6" s="8">
        <v>5</v>
      </c>
      <c r="J6" s="8">
        <v>6</v>
      </c>
      <c r="K6" s="8">
        <v>7</v>
      </c>
      <c r="L6" s="8">
        <v>8</v>
      </c>
      <c r="M6" s="8">
        <v>9</v>
      </c>
      <c r="N6" s="8">
        <v>10</v>
      </c>
      <c r="O6" s="8">
        <v>11</v>
      </c>
      <c r="P6" s="8">
        <v>12</v>
      </c>
      <c r="Q6" s="8">
        <v>13</v>
      </c>
      <c r="R6" s="8">
        <v>14</v>
      </c>
      <c r="S6" s="8">
        <v>15</v>
      </c>
      <c r="T6" s="8">
        <v>16</v>
      </c>
      <c r="U6" s="8">
        <v>17</v>
      </c>
      <c r="V6" s="8">
        <v>18</v>
      </c>
      <c r="W6" s="8">
        <v>19</v>
      </c>
      <c r="X6" s="8">
        <v>20</v>
      </c>
      <c r="Y6" s="8">
        <v>21</v>
      </c>
      <c r="Z6" s="8">
        <v>22</v>
      </c>
      <c r="AA6" s="8">
        <v>23</v>
      </c>
      <c r="AB6" s="8">
        <v>24</v>
      </c>
      <c r="AC6" s="8">
        <v>25</v>
      </c>
      <c r="AD6" s="8">
        <v>26</v>
      </c>
      <c r="AE6" s="8">
        <v>27</v>
      </c>
      <c r="AF6" s="8">
        <v>28</v>
      </c>
      <c r="AG6" s="8">
        <v>29</v>
      </c>
      <c r="AH6" s="8">
        <v>30</v>
      </c>
      <c r="AI6" s="8">
        <v>31</v>
      </c>
      <c r="AJ6" s="8" t="s">
        <v>71</v>
      </c>
    </row>
    <row r="7" spans="2:41" s="8" customFormat="1">
      <c r="C7" s="8">
        <v>2</v>
      </c>
      <c r="E7" s="10">
        <f>IF(MONTH(DATE(2019,$C$7,E$6))&lt;&gt;$C$7,"",DATE(2019,$C$7,E$6))</f>
        <v>43497</v>
      </c>
      <c r="F7" s="10">
        <f t="shared" ref="F7:AI7" si="0">IF(MONTH(DATE(2019,$C$7,F$6))&lt;&gt;$C$7,"",DATE(2019,$C$7,F$6))</f>
        <v>43498</v>
      </c>
      <c r="G7" s="10">
        <f t="shared" si="0"/>
        <v>43499</v>
      </c>
      <c r="H7" s="10">
        <f t="shared" si="0"/>
        <v>43500</v>
      </c>
      <c r="I7" s="10">
        <f t="shared" si="0"/>
        <v>43501</v>
      </c>
      <c r="J7" s="10">
        <f t="shared" si="0"/>
        <v>43502</v>
      </c>
      <c r="K7" s="10">
        <f t="shared" si="0"/>
        <v>43503</v>
      </c>
      <c r="L7" s="10">
        <f t="shared" si="0"/>
        <v>43504</v>
      </c>
      <c r="M7" s="10">
        <f t="shared" si="0"/>
        <v>43505</v>
      </c>
      <c r="N7" s="10">
        <f t="shared" si="0"/>
        <v>43506</v>
      </c>
      <c r="O7" s="10">
        <f t="shared" si="0"/>
        <v>43507</v>
      </c>
      <c r="P7" s="10">
        <f t="shared" si="0"/>
        <v>43508</v>
      </c>
      <c r="Q7" s="10">
        <f t="shared" si="0"/>
        <v>43509</v>
      </c>
      <c r="R7" s="10">
        <f t="shared" si="0"/>
        <v>43510</v>
      </c>
      <c r="S7" s="10">
        <f t="shared" si="0"/>
        <v>43511</v>
      </c>
      <c r="T7" s="10">
        <f t="shared" si="0"/>
        <v>43512</v>
      </c>
      <c r="U7" s="10">
        <f t="shared" si="0"/>
        <v>43513</v>
      </c>
      <c r="V7" s="10">
        <f t="shared" si="0"/>
        <v>43514</v>
      </c>
      <c r="W7" s="10">
        <f t="shared" si="0"/>
        <v>43515</v>
      </c>
      <c r="X7" s="10">
        <f t="shared" si="0"/>
        <v>43516</v>
      </c>
      <c r="Y7" s="10">
        <f t="shared" si="0"/>
        <v>43517</v>
      </c>
      <c r="Z7" s="10">
        <f t="shared" si="0"/>
        <v>43518</v>
      </c>
      <c r="AA7" s="10">
        <f t="shared" si="0"/>
        <v>43519</v>
      </c>
      <c r="AB7" s="10">
        <f t="shared" si="0"/>
        <v>43520</v>
      </c>
      <c r="AC7" s="10">
        <f t="shared" si="0"/>
        <v>43521</v>
      </c>
      <c r="AD7" s="10">
        <f t="shared" si="0"/>
        <v>43522</v>
      </c>
      <c r="AE7" s="10">
        <f t="shared" si="0"/>
        <v>43523</v>
      </c>
      <c r="AF7" s="10">
        <f t="shared" si="0"/>
        <v>43524</v>
      </c>
      <c r="AG7" s="10" t="str">
        <f t="shared" si="0"/>
        <v/>
      </c>
      <c r="AH7" s="10" t="str">
        <f t="shared" si="0"/>
        <v/>
      </c>
      <c r="AI7" s="10" t="str">
        <f t="shared" si="0"/>
        <v/>
      </c>
    </row>
    <row r="8" spans="2:41" s="8" customFormat="1">
      <c r="D8" s="11" t="s">
        <v>65</v>
      </c>
      <c r="E8" s="12">
        <f>IFERROR(SUMIF(BD!$A:$A,apoio2!E$7,BD!$I:$I),0)</f>
        <v>1289.47</v>
      </c>
      <c r="F8" s="12">
        <f>IFERROR(SUMIF(BD!$A:$A,apoio2!F$7,BD!$I:$I),0)</f>
        <v>2197.17</v>
      </c>
      <c r="G8" s="12">
        <f>IFERROR(SUMIF(BD!$A:$A,apoio2!G$7,BD!$I:$I),0)</f>
        <v>0</v>
      </c>
      <c r="H8" s="12">
        <f>IFERROR(SUMIF(BD!$A:$A,apoio2!H$7,BD!$I:$I),0)</f>
        <v>2915.94</v>
      </c>
      <c r="I8" s="12">
        <f>IFERROR(SUMIF(BD!$A:$A,apoio2!I$7,BD!$I:$I),0)</f>
        <v>5846.2000000000007</v>
      </c>
      <c r="J8" s="12">
        <f>IFERROR(SUMIF(BD!$A:$A,apoio2!J$7,BD!$I:$I),0)</f>
        <v>6813.8152074999998</v>
      </c>
      <c r="K8" s="12">
        <f>IFERROR(SUMIF(BD!$A:$A,apoio2!K$7,BD!$I:$I),0)</f>
        <v>1217.47</v>
      </c>
      <c r="L8" s="12">
        <f>IFERROR(SUMIF(BD!$A:$A,apoio2!L$7,BD!$I:$I),0)</f>
        <v>3934.88</v>
      </c>
      <c r="M8" s="12">
        <f>IFERROR(SUMIF(BD!$A:$A,apoio2!M$7,BD!$I:$I),0)</f>
        <v>7781.0300000000007</v>
      </c>
      <c r="N8" s="12">
        <f>IFERROR(SUMIF(BD!$A:$A,apoio2!N$7,BD!$I:$I),0)</f>
        <v>0</v>
      </c>
      <c r="O8" s="12">
        <f>IFERROR(SUMIF(BD!$A:$A,apoio2!O$7,BD!$I:$I),0)</f>
        <v>2512.19</v>
      </c>
      <c r="P8" s="12">
        <f>IFERROR(SUMIF(BD!$A:$A,apoio2!P$7,BD!$I:$I),0)</f>
        <v>4366.2800000000007</v>
      </c>
      <c r="Q8" s="12">
        <f>IFERROR(SUMIF(BD!$A:$A,apoio2!Q$7,BD!$I:$I),0)</f>
        <v>15823.02</v>
      </c>
      <c r="R8" s="12">
        <f>IFERROR(SUMIF(BD!$A:$A,apoio2!R$7,BD!$I:$I),0)</f>
        <v>8397.8788400000012</v>
      </c>
      <c r="S8" s="12">
        <f>IFERROR(SUMIF(BD!$A:$A,apoio2!S$7,BD!$I:$I),0)</f>
        <v>6722.2261075000006</v>
      </c>
      <c r="T8" s="12">
        <f>IFERROR(SUMIF(BD!$A:$A,apoio2!T$7,BD!$I:$I),0)</f>
        <v>6017.8</v>
      </c>
      <c r="U8" s="12">
        <f>IFERROR(SUMIF(BD!$A:$A,apoio2!U$7,BD!$I:$I),0)</f>
        <v>0</v>
      </c>
      <c r="V8" s="12">
        <f>IFERROR(SUMIF(BD!$A:$A,apoio2!V$7,BD!$I:$I),0)</f>
        <v>5572.5125050000006</v>
      </c>
      <c r="W8" s="12">
        <f>IFERROR(SUMIF(BD!$A:$A,apoio2!W$7,BD!$I:$I),0)</f>
        <v>5006.9699999999993</v>
      </c>
      <c r="X8" s="12">
        <f>IFERROR(SUMIF(BD!$A:$A,apoio2!X$7,BD!$I:$I),0)</f>
        <v>15312.649999999998</v>
      </c>
      <c r="Y8" s="12">
        <f>IFERROR(SUMIF(BD!$A:$A,apoio2!Y$7,BD!$I:$I),0)</f>
        <v>10184.657729999999</v>
      </c>
      <c r="Z8" s="12">
        <f>IFERROR(SUMIF(BD!$A:$A,apoio2!Z$7,BD!$I:$I),0)</f>
        <v>3983.634</v>
      </c>
      <c r="AA8" s="12">
        <f>IFERROR(SUMIF(BD!$A:$A,apoio2!AA$7,BD!$I:$I),0)</f>
        <v>1642.5</v>
      </c>
      <c r="AB8" s="12">
        <f>IFERROR(SUMIF(BD!$A:$A,apoio2!AB$7,BD!$I:$I),0)</f>
        <v>0</v>
      </c>
      <c r="AC8" s="12">
        <f>IFERROR(SUMIF(BD!$A:$A,apoio2!AC$7,BD!$I:$I),0)</f>
        <v>3598.87</v>
      </c>
      <c r="AD8" s="12">
        <f>IFERROR(SUMIF(BD!$A:$A,apoio2!AD$7,BD!$I:$I),0)</f>
        <v>9345.7939999999981</v>
      </c>
      <c r="AE8" s="12">
        <f>IFERROR(SUMIF(BD!$A:$A,apoio2!AE$7,BD!$I:$I),0)</f>
        <v>5219.7199999999993</v>
      </c>
      <c r="AF8" s="12">
        <f>IFERROR(SUMIF(BD!$A:$A,apoio2!AF$7,BD!$I:$I),0)</f>
        <v>20961.149999999998</v>
      </c>
      <c r="AG8" s="12">
        <f>IFERROR(SUMIF(BD!$A:$A,apoio2!AG$7,BD!$I:$I),0)</f>
        <v>0</v>
      </c>
      <c r="AH8" s="12">
        <f>IFERROR(SUMIF(BD!$A:$A,apoio2!AH$7,BD!$I:$I),0)</f>
        <v>0</v>
      </c>
      <c r="AI8" s="12">
        <f>IFERROR(SUMIF(BD!$A:$A,apoio2!AI$7,BD!$I:$I),0)</f>
        <v>0</v>
      </c>
      <c r="AJ8" s="13"/>
      <c r="AK8" s="14"/>
    </row>
    <row r="9" spans="2:41" s="8" customFormat="1">
      <c r="D9" s="11" t="s">
        <v>70</v>
      </c>
      <c r="E9" s="12">
        <f>IFERROR(SUMIF(BD!$A:$A,apoio2!E$7,BD!$K:$K),0)</f>
        <v>900</v>
      </c>
      <c r="F9" s="12">
        <f>IFERROR(SUMIF(BD!$A:$A,apoio2!F$7,BD!$K:$K),0)</f>
        <v>1650</v>
      </c>
      <c r="G9" s="12">
        <f>IFERROR(SUMIF(BD!$A:$A,apoio2!G$7,BD!$K:$K),0)</f>
        <v>0</v>
      </c>
      <c r="H9" s="12">
        <f>IFERROR(SUMIF(BD!$A:$A,apoio2!H$7,BD!$K:$K),0)</f>
        <v>1950</v>
      </c>
      <c r="I9" s="12">
        <f>IFERROR(SUMIF(BD!$A:$A,apoio2!I$7,BD!$K:$K),0)</f>
        <v>4200</v>
      </c>
      <c r="J9" s="12">
        <f>IFERROR(SUMIF(BD!$A:$A,apoio2!J$7,BD!$K:$K),0)</f>
        <v>5250</v>
      </c>
      <c r="K9" s="12">
        <f>IFERROR(SUMIF(BD!$A:$A,apoio2!K$7,BD!$K:$K),0)</f>
        <v>900</v>
      </c>
      <c r="L9" s="12">
        <f>IFERROR(SUMIF(BD!$A:$A,apoio2!L$7,BD!$K:$K),0)</f>
        <v>3250</v>
      </c>
      <c r="M9" s="12">
        <f>IFERROR(SUMIF(BD!$A:$A,apoio2!M$7,BD!$K:$K),0)</f>
        <v>6200</v>
      </c>
      <c r="N9" s="12">
        <f>IFERROR(SUMIF(BD!$A:$A,apoio2!N$7,BD!$K:$K),0)</f>
        <v>0</v>
      </c>
      <c r="O9" s="12">
        <f>IFERROR(SUMIF(BD!$A:$A,apoio2!O$7,BD!$K:$K),0)</f>
        <v>2000</v>
      </c>
      <c r="P9" s="12">
        <f>IFERROR(SUMIF(BD!$A:$A,apoio2!P$7,BD!$K:$K),0)</f>
        <v>3250</v>
      </c>
      <c r="Q9" s="12">
        <f>IFERROR(SUMIF(BD!$A:$A,apoio2!Q$7,BD!$K:$K),0)</f>
        <v>11950</v>
      </c>
      <c r="R9" s="12">
        <f>IFERROR(SUMIF(BD!$A:$A,apoio2!R$7,BD!$K:$K),0)</f>
        <v>6200</v>
      </c>
      <c r="S9" s="12">
        <f>IFERROR(SUMIF(BD!$A:$A,apoio2!S$7,BD!$K:$K),0)</f>
        <v>4950</v>
      </c>
      <c r="T9" s="12">
        <f>IFERROR(SUMIF(BD!$A:$A,apoio2!T$7,BD!$K:$K),0)</f>
        <v>4450</v>
      </c>
      <c r="U9" s="12">
        <f>IFERROR(SUMIF(BD!$A:$A,apoio2!U$7,BD!$K:$K),0)</f>
        <v>0</v>
      </c>
      <c r="V9" s="12">
        <f>IFERROR(SUMIF(BD!$A:$A,apoio2!V$7,BD!$K:$K),0)</f>
        <v>4385</v>
      </c>
      <c r="W9" s="12">
        <f>IFERROR(SUMIF(BD!$A:$A,apoio2!W$7,BD!$K:$K),0)</f>
        <v>3210</v>
      </c>
      <c r="X9" s="12">
        <f>IFERROR(SUMIF(BD!$A:$A,apoio2!X$7,BD!$K:$K),0)</f>
        <v>11810</v>
      </c>
      <c r="Y9" s="12">
        <f>IFERROR(SUMIF(BD!$A:$A,apoio2!Y$7,BD!$K:$K),0)</f>
        <v>7900</v>
      </c>
      <c r="Z9" s="12">
        <f>IFERROR(SUMIF(BD!$A:$A,apoio2!Z$7,BD!$K:$K),0)</f>
        <v>3000</v>
      </c>
      <c r="AA9" s="12">
        <f>IFERROR(SUMIF(BD!$A:$A,apoio2!AA$7,BD!$K:$K),0)</f>
        <v>1050</v>
      </c>
      <c r="AB9" s="12">
        <f>IFERROR(SUMIF(BD!$A:$A,apoio2!AB$7,BD!$K:$K),0)</f>
        <v>0</v>
      </c>
      <c r="AC9" s="12">
        <f>IFERROR(SUMIF(BD!$A:$A,apoio2!AC$7,BD!$K:$K),0)</f>
        <v>2880</v>
      </c>
      <c r="AD9" s="12">
        <f>IFERROR(SUMIF(BD!$A:$A,apoio2!AD$7,BD!$K:$K),0)</f>
        <v>7100</v>
      </c>
      <c r="AE9" s="12">
        <f>IFERROR(SUMIF(BD!$A:$A,apoio2!AE$7,BD!$K:$K),0)</f>
        <v>4300</v>
      </c>
      <c r="AF9" s="12">
        <f>IFERROR(SUMIF(BD!$A:$A,apoio2!AF$7,BD!$K:$K),0)</f>
        <v>17720</v>
      </c>
      <c r="AG9" s="12">
        <f>IFERROR(SUMIF(BD!$A:$A,apoio2!AG$7,BD!$K:$K),0)</f>
        <v>0</v>
      </c>
      <c r="AH9" s="12">
        <f>IFERROR(SUMIF(BD!$A:$A,apoio2!AH$7,BD!$K:$K),0)</f>
        <v>0</v>
      </c>
      <c r="AI9" s="12">
        <f>IFERROR(SUMIF(BD!$A:$A,apoio2!AI$7,BD!$K:$K),0)</f>
        <v>0</v>
      </c>
      <c r="AJ9" s="13"/>
      <c r="AK9" s="14"/>
      <c r="AL9" s="15"/>
    </row>
    <row r="10" spans="2:41" s="8" customFormat="1">
      <c r="D10" s="8" t="s">
        <v>20</v>
      </c>
      <c r="E10" s="12">
        <f>IFERROR(SUMIF(BD!$A:$A,apoio2!E$7,BD!$L:$L),0)</f>
        <v>234.73360000000002</v>
      </c>
      <c r="F10" s="12">
        <f>IFERROR(SUMIF(BD!$A:$A,apoio2!F$7,BD!$L:$L),0)</f>
        <v>283.50960000000009</v>
      </c>
      <c r="G10" s="12">
        <f>IFERROR(SUMIF(BD!$A:$A,apoio2!G$7,BD!$L:$L),0)</f>
        <v>0</v>
      </c>
      <c r="H10" s="12">
        <f>IFERROR(SUMIF(BD!$A:$A,apoio2!H$7,BD!$L:$L),0)</f>
        <v>616.02719999999999</v>
      </c>
      <c r="I10" s="12">
        <f>IFERROR(SUMIF(BD!$A:$A,apoio2!I$7,BD!$L:$L),0)</f>
        <v>944.65600000000018</v>
      </c>
      <c r="J10" s="12">
        <f>IFERROR(SUMIF(BD!$A:$A,apoio2!J$7,BD!$L:$L),0)</f>
        <v>746.15738260000035</v>
      </c>
      <c r="K10" s="12">
        <f>IFERROR(SUMIF(BD!$A:$A,apoio2!K$7,BD!$L:$L),0)</f>
        <v>171.37360000000012</v>
      </c>
      <c r="L10" s="12">
        <f>IFERROR(SUMIF(BD!$A:$A,apoio2!L$7,BD!$L:$L),0)</f>
        <v>212.69440000000031</v>
      </c>
      <c r="M10" s="12">
        <f>IFERROR(SUMIF(BD!$A:$A,apoio2!M$7,BD!$L:$L),0)</f>
        <v>647.30640000000039</v>
      </c>
      <c r="N10" s="12">
        <f>IFERROR(SUMIF(BD!$A:$A,apoio2!N$7,BD!$L:$L),0)</f>
        <v>0</v>
      </c>
      <c r="O10" s="12">
        <f>IFERROR(SUMIF(BD!$A:$A,apoio2!O$7,BD!$L:$L),0)</f>
        <v>210.72720000000027</v>
      </c>
      <c r="P10" s="12">
        <f>IFERROR(SUMIF(BD!$A:$A,apoio2!P$7,BD!$L:$L),0)</f>
        <v>592.32640000000004</v>
      </c>
      <c r="Q10" s="12">
        <f>IFERROR(SUMIF(BD!$A:$A,apoio2!Q$7,BD!$L:$L),0)</f>
        <v>1974.2576000000004</v>
      </c>
      <c r="R10" s="12">
        <f>IFERROR(SUMIF(BD!$A:$A,apoio2!R$7,BD!$L:$L),0)</f>
        <v>1190.1333792000003</v>
      </c>
      <c r="S10" s="12">
        <f>IFERROR(SUMIF(BD!$A:$A,apoio2!S$7,BD!$L:$L),0)</f>
        <v>965.55897460000006</v>
      </c>
      <c r="T10" s="12">
        <f>IFERROR(SUMIF(BD!$A:$A,apoio2!T$7,BD!$L:$L),0)</f>
        <v>845.66400000000021</v>
      </c>
      <c r="U10" s="12">
        <f>IFERROR(SUMIF(BD!$A:$A,apoio2!U$7,BD!$L:$L),0)</f>
        <v>0</v>
      </c>
      <c r="V10" s="12">
        <f>IFERROR(SUMIF(BD!$A:$A,apoio2!V$7,BD!$L:$L),0)</f>
        <v>518.81100440000023</v>
      </c>
      <c r="W10" s="12">
        <f>IFERROR(SUMIF(BD!$A:$A,apoio2!W$7,BD!$L:$L),0)</f>
        <v>1196.1335999999999</v>
      </c>
      <c r="X10" s="12">
        <f>IFERROR(SUMIF(BD!$A:$A,apoio2!X$7,BD!$L:$L),0)</f>
        <v>1665.1319999999998</v>
      </c>
      <c r="Y10" s="12">
        <f>IFERROR(SUMIF(BD!$A:$A,apoio2!Y$7,BD!$L:$L),0)</f>
        <v>1062.4988023999992</v>
      </c>
      <c r="Z10" s="12">
        <f>IFERROR(SUMIF(BD!$A:$A,apoio2!Z$7,BD!$L:$L),0)</f>
        <v>505.59791999999993</v>
      </c>
      <c r="AA10" s="12">
        <f>IFERROR(SUMIF(BD!$A:$A,apoio2!AA$7,BD!$L:$L),0)</f>
        <v>395.40000000000009</v>
      </c>
      <c r="AB10" s="12">
        <f>IFERROR(SUMIF(BD!$A:$A,apoio2!AB$7,BD!$L:$L),0)</f>
        <v>0</v>
      </c>
      <c r="AC10" s="12">
        <f>IFERROR(SUMIF(BD!$A:$A,apoio2!AC$7,BD!$L:$L),0)</f>
        <v>287.00560000000013</v>
      </c>
      <c r="AD10" s="12">
        <f>IFERROR(SUMIF(BD!$A:$A,apoio2!AD$7,BD!$L:$L),0)</f>
        <v>1124.29872</v>
      </c>
      <c r="AE10" s="12">
        <f>IFERROR(SUMIF(BD!$A:$A,apoio2!AE$7,BD!$L:$L),0)</f>
        <v>293.35359999999991</v>
      </c>
      <c r="AF10" s="12">
        <f>IFERROR(SUMIF(BD!$A:$A,apoio2!AF$7,BD!$L:$L),0)</f>
        <v>725.81199999999967</v>
      </c>
      <c r="AG10" s="12">
        <f>IFERROR(SUMIF(BD!$A:$A,apoio2!AG$7,BD!$L:$L),0)</f>
        <v>0</v>
      </c>
      <c r="AH10" s="12">
        <f>IFERROR(SUMIF(BD!$A:$A,apoio2!AH$7,BD!$L:$L),0)</f>
        <v>0</v>
      </c>
      <c r="AI10" s="12">
        <f>IFERROR(SUMIF(BD!$A:$A,apoio2!AI$7,BD!$L:$L),0)</f>
        <v>0</v>
      </c>
      <c r="AJ10" s="13">
        <f t="shared" ref="AJ10" si="1">SUM(E10:AI10)</f>
        <v>17409.168983199997</v>
      </c>
      <c r="AK10" s="8" t="s">
        <v>43</v>
      </c>
      <c r="AL10" s="8" t="s">
        <v>42</v>
      </c>
      <c r="AM10" s="8" t="s">
        <v>44</v>
      </c>
      <c r="AN10" s="8" t="s">
        <v>45</v>
      </c>
    </row>
    <row r="11" spans="2:41" s="8" customFormat="1">
      <c r="D11" s="8" t="s">
        <v>8</v>
      </c>
      <c r="E11" s="8">
        <f>IF(E$7="","",COUNTIFS(BD!$A:$A,apoio2!E$7,BD!$E:$E,apoio2!$D11))</f>
        <v>1</v>
      </c>
      <c r="F11" s="8">
        <f>IF(F$7="","",COUNTIFS(BD!$A:$A,apoio2!F$7,BD!$E:$E,apoio2!$D11))</f>
        <v>0</v>
      </c>
      <c r="G11" s="8">
        <f>IF(G$7="","",COUNTIFS(BD!$A:$A,apoio2!G$7,BD!$E:$E,apoio2!$D11))</f>
        <v>0</v>
      </c>
      <c r="H11" s="8">
        <f>IF(H$7="","",COUNTIFS(BD!$A:$A,apoio2!H$7,BD!$E:$E,apoio2!$D11))</f>
        <v>0</v>
      </c>
      <c r="I11" s="8">
        <f>IF(I$7="","",COUNTIFS(BD!$A:$A,apoio2!I$7,BD!$E:$E,apoio2!$D11))</f>
        <v>1</v>
      </c>
      <c r="J11" s="8">
        <f>IF(J$7="","",COUNTIFS(BD!$A:$A,apoio2!J$7,BD!$E:$E,apoio2!$D11))</f>
        <v>2</v>
      </c>
      <c r="K11" s="8">
        <f>IF(K$7="","",COUNTIFS(BD!$A:$A,apoio2!K$7,BD!$E:$E,apoio2!$D11))</f>
        <v>1</v>
      </c>
      <c r="L11" s="8">
        <f>IF(L$7="","",COUNTIFS(BD!$A:$A,apoio2!L$7,BD!$E:$E,apoio2!$D11))</f>
        <v>0</v>
      </c>
      <c r="M11" s="8">
        <f>IF(M$7="","",COUNTIFS(BD!$A:$A,apoio2!M$7,BD!$E:$E,apoio2!$D11))</f>
        <v>0</v>
      </c>
      <c r="N11" s="8">
        <f>IF(N$7="","",COUNTIFS(BD!$A:$A,apoio2!N$7,BD!$E:$E,apoio2!$D11))</f>
        <v>0</v>
      </c>
      <c r="O11" s="8">
        <f>IF(O$7="","",COUNTIFS(BD!$A:$A,apoio2!O$7,BD!$E:$E,apoio2!$D11))</f>
        <v>0</v>
      </c>
      <c r="P11" s="8">
        <f>IF(P$7="","",COUNTIFS(BD!$A:$A,apoio2!P$7,BD!$E:$E,apoio2!$D11))</f>
        <v>2</v>
      </c>
      <c r="Q11" s="8">
        <f>IF(Q$7="","",COUNTIFS(BD!$A:$A,apoio2!Q$7,BD!$E:$E,apoio2!$D11))</f>
        <v>2</v>
      </c>
      <c r="R11" s="8">
        <f>IF(R$7="","",COUNTIFS(BD!$A:$A,apoio2!R$7,BD!$E:$E,apoio2!$D11))</f>
        <v>2</v>
      </c>
      <c r="S11" s="8">
        <f>IF(S$7="","",COUNTIFS(BD!$A:$A,apoio2!S$7,BD!$E:$E,apoio2!$D11))</f>
        <v>3</v>
      </c>
      <c r="T11" s="8">
        <f>IF(T$7="","",COUNTIFS(BD!$A:$A,apoio2!T$7,BD!$E:$E,apoio2!$D11))</f>
        <v>0</v>
      </c>
      <c r="U11" s="8">
        <f>IF(U$7="","",COUNTIFS(BD!$A:$A,apoio2!U$7,BD!$E:$E,apoio2!$D11))</f>
        <v>0</v>
      </c>
      <c r="V11" s="8">
        <f>IF(V$7="","",COUNTIFS(BD!$A:$A,apoio2!V$7,BD!$E:$E,apoio2!$D11))</f>
        <v>1</v>
      </c>
      <c r="W11" s="8">
        <f>IF(W$7="","",COUNTIFS(BD!$A:$A,apoio2!W$7,BD!$E:$E,apoio2!$D11))</f>
        <v>0</v>
      </c>
      <c r="X11" s="8">
        <f>IF(X$7="","",COUNTIFS(BD!$A:$A,apoio2!X$7,BD!$E:$E,apoio2!$D11))</f>
        <v>1</v>
      </c>
      <c r="Y11" s="8">
        <f>IF(Y$7="","",COUNTIFS(BD!$A:$A,apoio2!Y$7,BD!$E:$E,apoio2!$D11))</f>
        <v>2</v>
      </c>
      <c r="Z11" s="8">
        <f>IF(Z$7="","",COUNTIFS(BD!$A:$A,apoio2!Z$7,BD!$E:$E,apoio2!$D11))</f>
        <v>2</v>
      </c>
      <c r="AA11" s="8">
        <f>IF(AA$7="","",COUNTIFS(BD!$A:$A,apoio2!AA$7,BD!$E:$E,apoio2!$D11))</f>
        <v>0</v>
      </c>
      <c r="AB11" s="8">
        <f>IF(AB$7="","",COUNTIFS(BD!$A:$A,apoio2!AB$7,BD!$E:$E,apoio2!$D11))</f>
        <v>0</v>
      </c>
      <c r="AC11" s="8">
        <f>IF(AC$7="","",COUNTIFS(BD!$A:$A,apoio2!AC$7,BD!$E:$E,apoio2!$D11))</f>
        <v>2</v>
      </c>
      <c r="AD11" s="8">
        <f>IF(AD$7="","",COUNTIFS(BD!$A:$A,apoio2!AD$7,BD!$E:$E,apoio2!$D11))</f>
        <v>2</v>
      </c>
      <c r="AE11" s="8">
        <f>IF(AE$7="","",COUNTIFS(BD!$A:$A,apoio2!AE$7,BD!$E:$E,apoio2!$D11))</f>
        <v>0</v>
      </c>
      <c r="AF11" s="8">
        <f>IF(AF$7="","",COUNTIFS(BD!$A:$A,apoio2!AF$7,BD!$E:$E,apoio2!$D11))</f>
        <v>0</v>
      </c>
      <c r="AG11" s="8" t="str">
        <f>IF(AG$7="","",COUNTIFS(BD!$A:$A,apoio2!AG$7,BD!$E:$E,apoio2!$D11))</f>
        <v/>
      </c>
      <c r="AH11" s="8" t="str">
        <f>IF(AH$7="","",COUNTIFS(BD!$A:$A,apoio2!AH$7,BD!$E:$E,apoio2!$D11))</f>
        <v/>
      </c>
      <c r="AI11" s="8" t="str">
        <f>IF(AI$7="","",COUNTIFS(BD!$A:$A,apoio2!AI$7,BD!$E:$E,apoio2!$D11))</f>
        <v/>
      </c>
      <c r="AJ11" s="8">
        <f t="shared" ref="AJ11:AJ16" si="2">SUM(E11:AI11)</f>
        <v>24</v>
      </c>
      <c r="AK11" s="8">
        <f>COUNTIFS(BD!$B:$B,MONTH(apoio2!$E$7),BD!$E:$E,apoio2!$D11,BD!$P:$P,apoio2!AK$10)</f>
        <v>14</v>
      </c>
      <c r="AL11" s="8">
        <f>COUNTIFS(BD!$B:$B,MONTH(apoio2!$E$7),BD!$E:$E,apoio2!$D11,BD!$P:$P,apoio2!AL$10)</f>
        <v>10</v>
      </c>
      <c r="AM11" s="14">
        <f>AK11/$AJ11</f>
        <v>0.58333333333333337</v>
      </c>
      <c r="AN11" s="14">
        <f>AL11/$AJ11</f>
        <v>0.41666666666666669</v>
      </c>
      <c r="AO11" s="16">
        <f>SUM(AM11:AN11)</f>
        <v>1</v>
      </c>
    </row>
    <row r="12" spans="2:41" s="8" customFormat="1" ht="15.6">
      <c r="B12" s="17"/>
      <c r="D12" s="8" t="s">
        <v>10</v>
      </c>
      <c r="E12" s="8">
        <f>IF(E$7="","",COUNTIFS(BD!$A:$A,apoio2!E$7,BD!$E:$E,apoio2!$D12))</f>
        <v>0</v>
      </c>
      <c r="F12" s="8">
        <f>IF(F$7="","",COUNTIFS(BD!$A:$A,apoio2!F$7,BD!$E:$E,apoio2!$D12))</f>
        <v>0</v>
      </c>
      <c r="G12" s="8">
        <f>IF(G$7="","",COUNTIFS(BD!$A:$A,apoio2!G$7,BD!$E:$E,apoio2!$D12))</f>
        <v>0</v>
      </c>
      <c r="H12" s="8">
        <f>IF(H$7="","",COUNTIFS(BD!$A:$A,apoio2!H$7,BD!$E:$E,apoio2!$D12))</f>
        <v>1</v>
      </c>
      <c r="I12" s="8">
        <f>IF(I$7="","",COUNTIFS(BD!$A:$A,apoio2!I$7,BD!$E:$E,apoio2!$D12))</f>
        <v>1</v>
      </c>
      <c r="J12" s="8">
        <f>IF(J$7="","",COUNTIFS(BD!$A:$A,apoio2!J$7,BD!$E:$E,apoio2!$D12))</f>
        <v>0</v>
      </c>
      <c r="K12" s="8">
        <f>IF(K$7="","",COUNTIFS(BD!$A:$A,apoio2!K$7,BD!$E:$E,apoio2!$D12))</f>
        <v>0</v>
      </c>
      <c r="L12" s="8">
        <f>IF(L$7="","",COUNTIFS(BD!$A:$A,apoio2!L$7,BD!$E:$E,apoio2!$D12))</f>
        <v>0</v>
      </c>
      <c r="M12" s="8">
        <f>IF(M$7="","",COUNTIFS(BD!$A:$A,apoio2!M$7,BD!$E:$E,apoio2!$D12))</f>
        <v>0</v>
      </c>
      <c r="N12" s="8">
        <f>IF(N$7="","",COUNTIFS(BD!$A:$A,apoio2!N$7,BD!$E:$E,apoio2!$D12))</f>
        <v>0</v>
      </c>
      <c r="O12" s="8">
        <f>IF(O$7="","",COUNTIFS(BD!$A:$A,apoio2!O$7,BD!$E:$E,apoio2!$D12))</f>
        <v>0</v>
      </c>
      <c r="P12" s="8">
        <f>IF(P$7="","",COUNTIFS(BD!$A:$A,apoio2!P$7,BD!$E:$E,apoio2!$D12))</f>
        <v>1</v>
      </c>
      <c r="Q12" s="8">
        <f>IF(Q$7="","",COUNTIFS(BD!$A:$A,apoio2!Q$7,BD!$E:$E,apoio2!$D12))</f>
        <v>1</v>
      </c>
      <c r="R12" s="8">
        <f>IF(R$7="","",COUNTIFS(BD!$A:$A,apoio2!R$7,BD!$E:$E,apoio2!$D12))</f>
        <v>0</v>
      </c>
      <c r="S12" s="8">
        <f>IF(S$7="","",COUNTIFS(BD!$A:$A,apoio2!S$7,BD!$E:$E,apoio2!$D12))</f>
        <v>0</v>
      </c>
      <c r="T12" s="8">
        <f>IF(T$7="","",COUNTIFS(BD!$A:$A,apoio2!T$7,BD!$E:$E,apoio2!$D12))</f>
        <v>0</v>
      </c>
      <c r="U12" s="8">
        <f>IF(U$7="","",COUNTIFS(BD!$A:$A,apoio2!U$7,BD!$E:$E,apoio2!$D12))</f>
        <v>0</v>
      </c>
      <c r="V12" s="8">
        <f>IF(V$7="","",COUNTIFS(BD!$A:$A,apoio2!V$7,BD!$E:$E,apoio2!$D12))</f>
        <v>1</v>
      </c>
      <c r="W12" s="8">
        <f>IF(W$7="","",COUNTIFS(BD!$A:$A,apoio2!W$7,BD!$E:$E,apoio2!$D12))</f>
        <v>2</v>
      </c>
      <c r="X12" s="8">
        <f>IF(X$7="","",COUNTIFS(BD!$A:$A,apoio2!X$7,BD!$E:$E,apoio2!$D12))</f>
        <v>0</v>
      </c>
      <c r="Y12" s="8">
        <f>IF(Y$7="","",COUNTIFS(BD!$A:$A,apoio2!Y$7,BD!$E:$E,apoio2!$D12))</f>
        <v>0</v>
      </c>
      <c r="Z12" s="8">
        <f>IF(Z$7="","",COUNTIFS(BD!$A:$A,apoio2!Z$7,BD!$E:$E,apoio2!$D12))</f>
        <v>0</v>
      </c>
      <c r="AA12" s="8">
        <f>IF(AA$7="","",COUNTIFS(BD!$A:$A,apoio2!AA$7,BD!$E:$E,apoio2!$D12))</f>
        <v>1</v>
      </c>
      <c r="AB12" s="8">
        <f>IF(AB$7="","",COUNTIFS(BD!$A:$A,apoio2!AB$7,BD!$E:$E,apoio2!$D12))</f>
        <v>0</v>
      </c>
      <c r="AC12" s="8">
        <f>IF(AC$7="","",COUNTIFS(BD!$A:$A,apoio2!AC$7,BD!$E:$E,apoio2!$D12))</f>
        <v>0</v>
      </c>
      <c r="AD12" s="8">
        <f>IF(AD$7="","",COUNTIFS(BD!$A:$A,apoio2!AD$7,BD!$E:$E,apoio2!$D12))</f>
        <v>2</v>
      </c>
      <c r="AE12" s="8">
        <f>IF(AE$7="","",COUNTIFS(BD!$A:$A,apoio2!AE$7,BD!$E:$E,apoio2!$D12))</f>
        <v>0</v>
      </c>
      <c r="AF12" s="8">
        <f>IF(AF$7="","",COUNTIFS(BD!$A:$A,apoio2!AF$7,BD!$E:$E,apoio2!$D12))</f>
        <v>2</v>
      </c>
      <c r="AG12" s="8" t="str">
        <f>IF(AG$7="","",COUNTIFS(BD!$A:$A,apoio2!AG$7,BD!$E:$E,apoio2!$D12))</f>
        <v/>
      </c>
      <c r="AH12" s="8" t="str">
        <f>IF(AH$7="","",COUNTIFS(BD!$A:$A,apoio2!AH$7,BD!$E:$E,apoio2!$D12))</f>
        <v/>
      </c>
      <c r="AI12" s="8" t="str">
        <f>IF(AI$7="","",COUNTIFS(BD!$A:$A,apoio2!AI$7,BD!$E:$E,apoio2!$D12))</f>
        <v/>
      </c>
      <c r="AJ12" s="8">
        <f t="shared" si="2"/>
        <v>12</v>
      </c>
      <c r="AK12" s="8">
        <f>COUNTIFS(BD!$B:$B,MONTH(apoio2!$E$7),BD!$E:$E,apoio2!$D12,BD!$P:$P,apoio2!AK$10)</f>
        <v>9</v>
      </c>
      <c r="AL12" s="8">
        <f>COUNTIFS(BD!$B:$B,MONTH(apoio2!$E$7),BD!$E:$E,apoio2!$D12,BD!$P:$P,apoio2!AL$10)</f>
        <v>3</v>
      </c>
      <c r="AM12" s="14">
        <f t="shared" ref="AM12:AM16" si="3">AK12/$AJ12</f>
        <v>0.75</v>
      </c>
      <c r="AN12" s="14">
        <f t="shared" ref="AN12:AN16" si="4">AL12/$AJ12</f>
        <v>0.25</v>
      </c>
      <c r="AO12" s="16">
        <f t="shared" ref="AO12:AO16" si="5">SUM(AM12:AN12)</f>
        <v>1</v>
      </c>
    </row>
    <row r="13" spans="2:41" s="8" customFormat="1">
      <c r="D13" s="8" t="s">
        <v>12</v>
      </c>
      <c r="E13" s="8">
        <f>IF(E$7="","",COUNTIFS(BD!$A:$A,apoio2!E$7,BD!$E:$E,apoio2!$D13))</f>
        <v>0</v>
      </c>
      <c r="F13" s="8">
        <f>IF(F$7="","",COUNTIFS(BD!$A:$A,apoio2!F$7,BD!$E:$E,apoio2!$D13))</f>
        <v>1</v>
      </c>
      <c r="G13" s="8">
        <f>IF(G$7="","",COUNTIFS(BD!$A:$A,apoio2!G$7,BD!$E:$E,apoio2!$D13))</f>
        <v>0</v>
      </c>
      <c r="H13" s="8">
        <f>IF(H$7="","",COUNTIFS(BD!$A:$A,apoio2!H$7,BD!$E:$E,apoio2!$D13))</f>
        <v>0</v>
      </c>
      <c r="I13" s="8">
        <f>IF(I$7="","",COUNTIFS(BD!$A:$A,apoio2!I$7,BD!$E:$E,apoio2!$D13))</f>
        <v>1</v>
      </c>
      <c r="J13" s="8">
        <f>IF(J$7="","",COUNTIFS(BD!$A:$A,apoio2!J$7,BD!$E:$E,apoio2!$D13))</f>
        <v>0</v>
      </c>
      <c r="K13" s="8">
        <f>IF(K$7="","",COUNTIFS(BD!$A:$A,apoio2!K$7,BD!$E:$E,apoio2!$D13))</f>
        <v>0</v>
      </c>
      <c r="L13" s="8">
        <f>IF(L$7="","",COUNTIFS(BD!$A:$A,apoio2!L$7,BD!$E:$E,apoio2!$D13))</f>
        <v>0</v>
      </c>
      <c r="M13" s="8">
        <f>IF(M$7="","",COUNTIFS(BD!$A:$A,apoio2!M$7,BD!$E:$E,apoio2!$D13))</f>
        <v>2</v>
      </c>
      <c r="N13" s="8">
        <f>IF(N$7="","",COUNTIFS(BD!$A:$A,apoio2!N$7,BD!$E:$E,apoio2!$D13))</f>
        <v>0</v>
      </c>
      <c r="O13" s="8">
        <f>IF(O$7="","",COUNTIFS(BD!$A:$A,apoio2!O$7,BD!$E:$E,apoio2!$D13))</f>
        <v>0</v>
      </c>
      <c r="P13" s="8">
        <f>IF(P$7="","",COUNTIFS(BD!$A:$A,apoio2!P$7,BD!$E:$E,apoio2!$D13))</f>
        <v>0</v>
      </c>
      <c r="Q13" s="8">
        <f>IF(Q$7="","",COUNTIFS(BD!$A:$A,apoio2!Q$7,BD!$E:$E,apoio2!$D13))</f>
        <v>1</v>
      </c>
      <c r="R13" s="8">
        <f>IF(R$7="","",COUNTIFS(BD!$A:$A,apoio2!R$7,BD!$E:$E,apoio2!$D13))</f>
        <v>1</v>
      </c>
      <c r="S13" s="8">
        <f>IF(S$7="","",COUNTIFS(BD!$A:$A,apoio2!S$7,BD!$E:$E,apoio2!$D13))</f>
        <v>0</v>
      </c>
      <c r="T13" s="8">
        <f>IF(T$7="","",COUNTIFS(BD!$A:$A,apoio2!T$7,BD!$E:$E,apoio2!$D13))</f>
        <v>1</v>
      </c>
      <c r="U13" s="8">
        <f>IF(U$7="","",COUNTIFS(BD!$A:$A,apoio2!U$7,BD!$E:$E,apoio2!$D13))</f>
        <v>0</v>
      </c>
      <c r="V13" s="8">
        <f>IF(V$7="","",COUNTIFS(BD!$A:$A,apoio2!V$7,BD!$E:$E,apoio2!$D13))</f>
        <v>1</v>
      </c>
      <c r="W13" s="8">
        <f>IF(W$7="","",COUNTIFS(BD!$A:$A,apoio2!W$7,BD!$E:$E,apoio2!$D13))</f>
        <v>0</v>
      </c>
      <c r="X13" s="8">
        <f>IF(X$7="","",COUNTIFS(BD!$A:$A,apoio2!X$7,BD!$E:$E,apoio2!$D13))</f>
        <v>1</v>
      </c>
      <c r="Y13" s="8">
        <f>IF(Y$7="","",COUNTIFS(BD!$A:$A,apoio2!Y$7,BD!$E:$E,apoio2!$D13))</f>
        <v>0</v>
      </c>
      <c r="Z13" s="8">
        <f>IF(Z$7="","",COUNTIFS(BD!$A:$A,apoio2!Z$7,BD!$E:$E,apoio2!$D13))</f>
        <v>1</v>
      </c>
      <c r="AA13" s="8">
        <f>IF(AA$7="","",COUNTIFS(BD!$A:$A,apoio2!AA$7,BD!$E:$E,apoio2!$D13))</f>
        <v>0</v>
      </c>
      <c r="AB13" s="8">
        <f>IF(AB$7="","",COUNTIFS(BD!$A:$A,apoio2!AB$7,BD!$E:$E,apoio2!$D13))</f>
        <v>0</v>
      </c>
      <c r="AC13" s="8">
        <f>IF(AC$7="","",COUNTIFS(BD!$A:$A,apoio2!AC$7,BD!$E:$E,apoio2!$D13))</f>
        <v>1</v>
      </c>
      <c r="AD13" s="8">
        <f>IF(AD$7="","",COUNTIFS(BD!$A:$A,apoio2!AD$7,BD!$E:$E,apoio2!$D13))</f>
        <v>2</v>
      </c>
      <c r="AE13" s="8">
        <f>IF(AE$7="","",COUNTIFS(BD!$A:$A,apoio2!AE$7,BD!$E:$E,apoio2!$D13))</f>
        <v>1</v>
      </c>
      <c r="AF13" s="8">
        <f>IF(AF$7="","",COUNTIFS(BD!$A:$A,apoio2!AF$7,BD!$E:$E,apoio2!$D13))</f>
        <v>4</v>
      </c>
      <c r="AG13" s="8" t="str">
        <f>IF(AG$7="","",COUNTIFS(BD!$A:$A,apoio2!AG$7,BD!$E:$E,apoio2!$D13))</f>
        <v/>
      </c>
      <c r="AH13" s="8" t="str">
        <f>IF(AH$7="","",COUNTIFS(BD!$A:$A,apoio2!AH$7,BD!$E:$E,apoio2!$D13))</f>
        <v/>
      </c>
      <c r="AI13" s="8" t="str">
        <f>IF(AI$7="","",COUNTIFS(BD!$A:$A,apoio2!AI$7,BD!$E:$E,apoio2!$D13))</f>
        <v/>
      </c>
      <c r="AJ13" s="8">
        <f t="shared" si="2"/>
        <v>18</v>
      </c>
      <c r="AK13" s="8">
        <f>COUNTIFS(BD!$B:$B,MONTH(apoio2!$E$7),BD!$E:$E,apoio2!$D13,BD!$P:$P,apoio2!AK$10)</f>
        <v>13</v>
      </c>
      <c r="AL13" s="8">
        <f>COUNTIFS(BD!$B:$B,MONTH(apoio2!$E$7),BD!$E:$E,apoio2!$D13,BD!$P:$P,apoio2!AL$10)</f>
        <v>5</v>
      </c>
      <c r="AM13" s="14">
        <f t="shared" si="3"/>
        <v>0.72222222222222221</v>
      </c>
      <c r="AN13" s="14">
        <f t="shared" si="4"/>
        <v>0.27777777777777779</v>
      </c>
      <c r="AO13" s="16">
        <f t="shared" si="5"/>
        <v>1</v>
      </c>
    </row>
    <row r="14" spans="2:41" s="8" customFormat="1" ht="18">
      <c r="B14" s="18"/>
      <c r="D14" s="8" t="s">
        <v>13</v>
      </c>
      <c r="E14" s="8">
        <f>IF(E$7="","",COUNTIFS(BD!$A:$A,apoio2!E$7,BD!$E:$E,apoio2!$D14))</f>
        <v>0</v>
      </c>
      <c r="F14" s="8">
        <f>IF(F$7="","",COUNTIFS(BD!$A:$A,apoio2!F$7,BD!$E:$E,apoio2!$D14))</f>
        <v>0</v>
      </c>
      <c r="G14" s="8">
        <f>IF(G$7="","",COUNTIFS(BD!$A:$A,apoio2!G$7,BD!$E:$E,apoio2!$D14))</f>
        <v>0</v>
      </c>
      <c r="H14" s="8">
        <f>IF(H$7="","",COUNTIFS(BD!$A:$A,apoio2!H$7,BD!$E:$E,apoio2!$D14))</f>
        <v>0</v>
      </c>
      <c r="I14" s="8">
        <f>IF(I$7="","",COUNTIFS(BD!$A:$A,apoio2!I$7,BD!$E:$E,apoio2!$D14))</f>
        <v>0</v>
      </c>
      <c r="J14" s="8">
        <f>IF(J$7="","",COUNTIFS(BD!$A:$A,apoio2!J$7,BD!$E:$E,apoio2!$D14))</f>
        <v>0</v>
      </c>
      <c r="K14" s="8">
        <f>IF(K$7="","",COUNTIFS(BD!$A:$A,apoio2!K$7,BD!$E:$E,apoio2!$D14))</f>
        <v>0</v>
      </c>
      <c r="L14" s="8">
        <f>IF(L$7="","",COUNTIFS(BD!$A:$A,apoio2!L$7,BD!$E:$E,apoio2!$D14))</f>
        <v>0</v>
      </c>
      <c r="M14" s="8">
        <f>IF(M$7="","",COUNTIFS(BD!$A:$A,apoio2!M$7,BD!$E:$E,apoio2!$D14))</f>
        <v>0</v>
      </c>
      <c r="N14" s="8">
        <f>IF(N$7="","",COUNTIFS(BD!$A:$A,apoio2!N$7,BD!$E:$E,apoio2!$D14))</f>
        <v>0</v>
      </c>
      <c r="O14" s="8">
        <f>IF(O$7="","",COUNTIFS(BD!$A:$A,apoio2!O$7,BD!$E:$E,apoio2!$D14))</f>
        <v>1</v>
      </c>
      <c r="P14" s="8">
        <f>IF(P$7="","",COUNTIFS(BD!$A:$A,apoio2!P$7,BD!$E:$E,apoio2!$D14))</f>
        <v>0</v>
      </c>
      <c r="Q14" s="8">
        <f>IF(Q$7="","",COUNTIFS(BD!$A:$A,apoio2!Q$7,BD!$E:$E,apoio2!$D14))</f>
        <v>0</v>
      </c>
      <c r="R14" s="8">
        <f>IF(R$7="","",COUNTIFS(BD!$A:$A,apoio2!R$7,BD!$E:$E,apoio2!$D14))</f>
        <v>1</v>
      </c>
      <c r="S14" s="8">
        <f>IF(S$7="","",COUNTIFS(BD!$A:$A,apoio2!S$7,BD!$E:$E,apoio2!$D14))</f>
        <v>0</v>
      </c>
      <c r="T14" s="8">
        <f>IF(T$7="","",COUNTIFS(BD!$A:$A,apoio2!T$7,BD!$E:$E,apoio2!$D14))</f>
        <v>0</v>
      </c>
      <c r="U14" s="8">
        <f>IF(U$7="","",COUNTIFS(BD!$A:$A,apoio2!U$7,BD!$E:$E,apoio2!$D14))</f>
        <v>0</v>
      </c>
      <c r="V14" s="8">
        <f>IF(V$7="","",COUNTIFS(BD!$A:$A,apoio2!V$7,BD!$E:$E,apoio2!$D14))</f>
        <v>0</v>
      </c>
      <c r="W14" s="8">
        <f>IF(W$7="","",COUNTIFS(BD!$A:$A,apoio2!W$7,BD!$E:$E,apoio2!$D14))</f>
        <v>1</v>
      </c>
      <c r="X14" s="8">
        <f>IF(X$7="","",COUNTIFS(BD!$A:$A,apoio2!X$7,BD!$E:$E,apoio2!$D14))</f>
        <v>1</v>
      </c>
      <c r="Y14" s="8">
        <f>IF(Y$7="","",COUNTIFS(BD!$A:$A,apoio2!Y$7,BD!$E:$E,apoio2!$D14))</f>
        <v>1</v>
      </c>
      <c r="Z14" s="8">
        <f>IF(Z$7="","",COUNTIFS(BD!$A:$A,apoio2!Z$7,BD!$E:$E,apoio2!$D14))</f>
        <v>0</v>
      </c>
      <c r="AA14" s="8">
        <f>IF(AA$7="","",COUNTIFS(BD!$A:$A,apoio2!AA$7,BD!$E:$E,apoio2!$D14))</f>
        <v>0</v>
      </c>
      <c r="AB14" s="8">
        <f>IF(AB$7="","",COUNTIFS(BD!$A:$A,apoio2!AB$7,BD!$E:$E,apoio2!$D14))</f>
        <v>0</v>
      </c>
      <c r="AC14" s="8">
        <f>IF(AC$7="","",COUNTIFS(BD!$A:$A,apoio2!AC$7,BD!$E:$E,apoio2!$D14))</f>
        <v>0</v>
      </c>
      <c r="AD14" s="8">
        <f>IF(AD$7="","",COUNTIFS(BD!$A:$A,apoio2!AD$7,BD!$E:$E,apoio2!$D14))</f>
        <v>0</v>
      </c>
      <c r="AE14" s="8">
        <f>IF(AE$7="","",COUNTIFS(BD!$A:$A,apoio2!AE$7,BD!$E:$E,apoio2!$D14))</f>
        <v>0</v>
      </c>
      <c r="AF14" s="8">
        <f>IF(AF$7="","",COUNTIFS(BD!$A:$A,apoio2!AF$7,BD!$E:$E,apoio2!$D14))</f>
        <v>0</v>
      </c>
      <c r="AG14" s="8" t="str">
        <f>IF(AG$7="","",COUNTIFS(BD!$A:$A,apoio2!AG$7,BD!$E:$E,apoio2!$D14))</f>
        <v/>
      </c>
      <c r="AH14" s="8" t="str">
        <f>IF(AH$7="","",COUNTIFS(BD!$A:$A,apoio2!AH$7,BD!$E:$E,apoio2!$D14))</f>
        <v/>
      </c>
      <c r="AI14" s="8" t="str">
        <f>IF(AI$7="","",COUNTIFS(BD!$A:$A,apoio2!AI$7,BD!$E:$E,apoio2!$D14))</f>
        <v/>
      </c>
      <c r="AJ14" s="8">
        <f t="shared" si="2"/>
        <v>5</v>
      </c>
      <c r="AK14" s="8">
        <f>COUNTIFS(BD!$B:$B,MONTH(apoio2!$E$7),BD!$E:$E,apoio2!$D14,BD!$P:$P,apoio2!AK$10)</f>
        <v>5</v>
      </c>
      <c r="AL14" s="8">
        <f>COUNTIFS(BD!$B:$B,MONTH(apoio2!$E$7),BD!$E:$E,apoio2!$D14,BD!$P:$P,apoio2!AL$10)</f>
        <v>0</v>
      </c>
      <c r="AM14" s="14">
        <f t="shared" si="3"/>
        <v>1</v>
      </c>
      <c r="AN14" s="14">
        <f t="shared" si="4"/>
        <v>0</v>
      </c>
      <c r="AO14" s="16">
        <f t="shared" si="5"/>
        <v>1</v>
      </c>
    </row>
    <row r="15" spans="2:41">
      <c r="D15" t="s">
        <v>14</v>
      </c>
      <c r="E15">
        <f>IF(E$7="","",COUNTIFS(BD!$A:$A,apoio2!E$7,BD!$E:$E,apoio2!$D15))</f>
        <v>0</v>
      </c>
      <c r="F15">
        <f>IF(F$7="","",COUNTIFS(BD!$A:$A,apoio2!F$7,BD!$E:$E,apoio2!$D15))</f>
        <v>0</v>
      </c>
      <c r="G15">
        <f>IF(G$7="","",COUNTIFS(BD!$A:$A,apoio2!G$7,BD!$E:$E,apoio2!$D15))</f>
        <v>0</v>
      </c>
      <c r="H15">
        <f>IF(H$7="","",COUNTIFS(BD!$A:$A,apoio2!H$7,BD!$E:$E,apoio2!$D15))</f>
        <v>0</v>
      </c>
      <c r="I15">
        <f>IF(I$7="","",COUNTIFS(BD!$A:$A,apoio2!I$7,BD!$E:$E,apoio2!$D15))</f>
        <v>0</v>
      </c>
      <c r="J15">
        <f>IF(J$7="","",COUNTIFS(BD!$A:$A,apoio2!J$7,BD!$E:$E,apoio2!$D15))</f>
        <v>0</v>
      </c>
      <c r="K15">
        <f>IF(K$7="","",COUNTIFS(BD!$A:$A,apoio2!K$7,BD!$E:$E,apoio2!$D15))</f>
        <v>0</v>
      </c>
      <c r="L15">
        <f>IF(L$7="","",COUNTIFS(BD!$A:$A,apoio2!L$7,BD!$E:$E,apoio2!$D15))</f>
        <v>0</v>
      </c>
      <c r="M15">
        <f>IF(M$7="","",COUNTIFS(BD!$A:$A,apoio2!M$7,BD!$E:$E,apoio2!$D15))</f>
        <v>0</v>
      </c>
      <c r="N15">
        <f>IF(N$7="","",COUNTIFS(BD!$A:$A,apoio2!N$7,BD!$E:$E,apoio2!$D15))</f>
        <v>0</v>
      </c>
      <c r="O15">
        <f>IF(O$7="","",COUNTIFS(BD!$A:$A,apoio2!O$7,BD!$E:$E,apoio2!$D15))</f>
        <v>0</v>
      </c>
      <c r="P15">
        <f>IF(P$7="","",COUNTIFS(BD!$A:$A,apoio2!P$7,BD!$E:$E,apoio2!$D15))</f>
        <v>0</v>
      </c>
      <c r="Q15">
        <f>IF(Q$7="","",COUNTIFS(BD!$A:$A,apoio2!Q$7,BD!$E:$E,apoio2!$D15))</f>
        <v>0</v>
      </c>
      <c r="R15">
        <f>IF(R$7="","",COUNTIFS(BD!$A:$A,apoio2!R$7,BD!$E:$E,apoio2!$D15))</f>
        <v>0</v>
      </c>
      <c r="S15">
        <f>IF(S$7="","",COUNTIFS(BD!$A:$A,apoio2!S$7,BD!$E:$E,apoio2!$D15))</f>
        <v>1</v>
      </c>
      <c r="T15">
        <f>IF(T$7="","",COUNTIFS(BD!$A:$A,apoio2!T$7,BD!$E:$E,apoio2!$D15))</f>
        <v>1</v>
      </c>
      <c r="U15">
        <f>IF(U$7="","",COUNTIFS(BD!$A:$A,apoio2!U$7,BD!$E:$E,apoio2!$D15))</f>
        <v>0</v>
      </c>
      <c r="V15">
        <f>IF(V$7="","",COUNTIFS(BD!$A:$A,apoio2!V$7,BD!$E:$E,apoio2!$D15))</f>
        <v>0</v>
      </c>
      <c r="W15">
        <f>IF(W$7="","",COUNTIFS(BD!$A:$A,apoio2!W$7,BD!$E:$E,apoio2!$D15))</f>
        <v>0</v>
      </c>
      <c r="X15">
        <f>IF(X$7="","",COUNTIFS(BD!$A:$A,apoio2!X$7,BD!$E:$E,apoio2!$D15))</f>
        <v>0</v>
      </c>
      <c r="Y15">
        <f>IF(Y$7="","",COUNTIFS(BD!$A:$A,apoio2!Y$7,BD!$E:$E,apoio2!$D15))</f>
        <v>2</v>
      </c>
      <c r="Z15">
        <f>IF(Z$7="","",COUNTIFS(BD!$A:$A,apoio2!Z$7,BD!$E:$E,apoio2!$D15))</f>
        <v>0</v>
      </c>
      <c r="AA15">
        <f>IF(AA$7="","",COUNTIFS(BD!$A:$A,apoio2!AA$7,BD!$E:$E,apoio2!$D15))</f>
        <v>0</v>
      </c>
      <c r="AB15">
        <f>IF(AB$7="","",COUNTIFS(BD!$A:$A,apoio2!AB$7,BD!$E:$E,apoio2!$D15))</f>
        <v>0</v>
      </c>
      <c r="AC15">
        <f>IF(AC$7="","",COUNTIFS(BD!$A:$A,apoio2!AC$7,BD!$E:$E,apoio2!$D15))</f>
        <v>0</v>
      </c>
      <c r="AD15">
        <f>IF(AD$7="","",COUNTIFS(BD!$A:$A,apoio2!AD$7,BD!$E:$E,apoio2!$D15))</f>
        <v>0</v>
      </c>
      <c r="AE15">
        <f>IF(AE$7="","",COUNTIFS(BD!$A:$A,apoio2!AE$7,BD!$E:$E,apoio2!$D15))</f>
        <v>0</v>
      </c>
      <c r="AF15">
        <f>IF(AF$7="","",COUNTIFS(BD!$A:$A,apoio2!AF$7,BD!$E:$E,apoio2!$D15))</f>
        <v>1</v>
      </c>
      <c r="AG15" t="str">
        <f>IF(AG$7="","",COUNTIFS(BD!$A:$A,apoio2!AG$7,BD!$E:$E,apoio2!$D15))</f>
        <v/>
      </c>
      <c r="AH15" t="str">
        <f>IF(AH$7="","",COUNTIFS(BD!$A:$A,apoio2!AH$7,BD!$E:$E,apoio2!$D15))</f>
        <v/>
      </c>
      <c r="AI15" t="str">
        <f>IF(AI$7="","",COUNTIFS(BD!$A:$A,apoio2!AI$7,BD!$E:$E,apoio2!$D15))</f>
        <v/>
      </c>
      <c r="AJ15">
        <f t="shared" si="2"/>
        <v>5</v>
      </c>
      <c r="AK15" s="8">
        <f>COUNTIFS(BD!$B:$B,MONTH(apoio2!$E$7),BD!$E:$E,apoio2!$D15,BD!$P:$P,apoio2!AK$10)</f>
        <v>3</v>
      </c>
      <c r="AL15" s="8">
        <f>COUNTIFS(BD!$B:$B,MONTH(apoio2!$E$7),BD!$E:$E,apoio2!$D15,BD!$P:$P,apoio2!AL$10)</f>
        <v>2</v>
      </c>
      <c r="AM15" s="19">
        <f t="shared" si="3"/>
        <v>0.6</v>
      </c>
      <c r="AN15" s="19">
        <f t="shared" si="4"/>
        <v>0.4</v>
      </c>
      <c r="AO15" s="20">
        <f t="shared" si="5"/>
        <v>1</v>
      </c>
    </row>
    <row r="16" spans="2:41">
      <c r="D16" t="s">
        <v>15</v>
      </c>
      <c r="E16">
        <f>IF(E$7="","",COUNTIFS(BD!$A:$A,apoio2!E$7,BD!$E:$E,apoio2!$D16))</f>
        <v>0</v>
      </c>
      <c r="F16">
        <f>IF(F$7="","",COUNTIFS(BD!$A:$A,apoio2!F$7,BD!$E:$E,apoio2!$D16))</f>
        <v>0</v>
      </c>
      <c r="G16">
        <f>IF(G$7="","",COUNTIFS(BD!$A:$A,apoio2!G$7,BD!$E:$E,apoio2!$D16))</f>
        <v>0</v>
      </c>
      <c r="H16">
        <f>IF(H$7="","",COUNTIFS(BD!$A:$A,apoio2!H$7,BD!$E:$E,apoio2!$D16))</f>
        <v>0</v>
      </c>
      <c r="I16">
        <f>IF(I$7="","",COUNTIFS(BD!$A:$A,apoio2!I$7,BD!$E:$E,apoio2!$D16))</f>
        <v>0</v>
      </c>
      <c r="J16">
        <f>IF(J$7="","",COUNTIFS(BD!$A:$A,apoio2!J$7,BD!$E:$E,apoio2!$D16))</f>
        <v>1</v>
      </c>
      <c r="K16">
        <f>IF(K$7="","",COUNTIFS(BD!$A:$A,apoio2!K$7,BD!$E:$E,apoio2!$D16))</f>
        <v>0</v>
      </c>
      <c r="L16">
        <f>IF(L$7="","",COUNTIFS(BD!$A:$A,apoio2!L$7,BD!$E:$E,apoio2!$D16))</f>
        <v>1</v>
      </c>
      <c r="M16">
        <f>IF(M$7="","",COUNTIFS(BD!$A:$A,apoio2!M$7,BD!$E:$E,apoio2!$D16))</f>
        <v>1</v>
      </c>
      <c r="N16">
        <f>IF(N$7="","",COUNTIFS(BD!$A:$A,apoio2!N$7,BD!$E:$E,apoio2!$D16))</f>
        <v>0</v>
      </c>
      <c r="O16">
        <f>IF(O$7="","",COUNTIFS(BD!$A:$A,apoio2!O$7,BD!$E:$E,apoio2!$D16))</f>
        <v>0</v>
      </c>
      <c r="P16">
        <f>IF(P$7="","",COUNTIFS(BD!$A:$A,apoio2!P$7,BD!$E:$E,apoio2!$D16))</f>
        <v>0</v>
      </c>
      <c r="Q16">
        <f>IF(Q$7="","",COUNTIFS(BD!$A:$A,apoio2!Q$7,BD!$E:$E,apoio2!$D16))</f>
        <v>2</v>
      </c>
      <c r="R16">
        <f>IF(R$7="","",COUNTIFS(BD!$A:$A,apoio2!R$7,BD!$E:$E,apoio2!$D16))</f>
        <v>0</v>
      </c>
      <c r="S16">
        <f>IF(S$7="","",COUNTIFS(BD!$A:$A,apoio2!S$7,BD!$E:$E,apoio2!$D16))</f>
        <v>0</v>
      </c>
      <c r="T16">
        <f>IF(T$7="","",COUNTIFS(BD!$A:$A,apoio2!T$7,BD!$E:$E,apoio2!$D16))</f>
        <v>0</v>
      </c>
      <c r="U16">
        <f>IF(U$7="","",COUNTIFS(BD!$A:$A,apoio2!U$7,BD!$E:$E,apoio2!$D16))</f>
        <v>0</v>
      </c>
      <c r="V16">
        <f>IF(V$7="","",COUNTIFS(BD!$A:$A,apoio2!V$7,BD!$E:$E,apoio2!$D16))</f>
        <v>0</v>
      </c>
      <c r="W16">
        <f>IF(W$7="","",COUNTIFS(BD!$A:$A,apoio2!W$7,BD!$E:$E,apoio2!$D16))</f>
        <v>0</v>
      </c>
      <c r="X16">
        <f>IF(X$7="","",COUNTIFS(BD!$A:$A,apoio2!X$7,BD!$E:$E,apoio2!$D16))</f>
        <v>2</v>
      </c>
      <c r="Y16">
        <f>IF(Y$7="","",COUNTIFS(BD!$A:$A,apoio2!Y$7,BD!$E:$E,apoio2!$D16))</f>
        <v>0</v>
      </c>
      <c r="Z16">
        <f>IF(Z$7="","",COUNTIFS(BD!$A:$A,apoio2!Z$7,BD!$E:$E,apoio2!$D16))</f>
        <v>0</v>
      </c>
      <c r="AA16">
        <f>IF(AA$7="","",COUNTIFS(BD!$A:$A,apoio2!AA$7,BD!$E:$E,apoio2!$D16))</f>
        <v>0</v>
      </c>
      <c r="AB16">
        <f>IF(AB$7="","",COUNTIFS(BD!$A:$A,apoio2!AB$7,BD!$E:$E,apoio2!$D16))</f>
        <v>0</v>
      </c>
      <c r="AC16">
        <f>IF(AC$7="","",COUNTIFS(BD!$A:$A,apoio2!AC$7,BD!$E:$E,apoio2!$D16))</f>
        <v>0</v>
      </c>
      <c r="AD16">
        <f>IF(AD$7="","",COUNTIFS(BD!$A:$A,apoio2!AD$7,BD!$E:$E,apoio2!$D16))</f>
        <v>0</v>
      </c>
      <c r="AE16">
        <f>IF(AE$7="","",COUNTIFS(BD!$A:$A,apoio2!AE$7,BD!$E:$E,apoio2!$D16))</f>
        <v>1</v>
      </c>
      <c r="AF16">
        <f>IF(AF$7="","",COUNTIFS(BD!$A:$A,apoio2!AF$7,BD!$E:$E,apoio2!$D16))</f>
        <v>2</v>
      </c>
      <c r="AG16" t="str">
        <f>IF(AG$7="","",COUNTIFS(BD!$A:$A,apoio2!AG$7,BD!$E:$E,apoio2!$D16))</f>
        <v/>
      </c>
      <c r="AH16" t="str">
        <f>IF(AH$7="","",COUNTIFS(BD!$A:$A,apoio2!AH$7,BD!$E:$E,apoio2!$D16))</f>
        <v/>
      </c>
      <c r="AI16" t="str">
        <f>IF(AI$7="","",COUNTIFS(BD!$A:$A,apoio2!AI$7,BD!$E:$E,apoio2!$D16))</f>
        <v/>
      </c>
      <c r="AJ16">
        <f t="shared" si="2"/>
        <v>10</v>
      </c>
      <c r="AK16" s="8">
        <f>COUNTIFS(BD!$B:$B,MONTH(apoio2!$E$7),BD!$E:$E,apoio2!$D16,BD!$P:$P,apoio2!AK$10)</f>
        <v>6</v>
      </c>
      <c r="AL16" s="8">
        <f>COUNTIFS(BD!$B:$B,MONTH(apoio2!$E$7),BD!$E:$E,apoio2!$D16,BD!$P:$P,apoio2!AL$10)</f>
        <v>4</v>
      </c>
      <c r="AM16" s="19">
        <f t="shared" si="3"/>
        <v>0.6</v>
      </c>
      <c r="AN16" s="19">
        <f t="shared" si="4"/>
        <v>0.4</v>
      </c>
      <c r="AO16" s="20">
        <f t="shared" si="5"/>
        <v>1</v>
      </c>
    </row>
    <row r="17" spans="1:41">
      <c r="AJ17" s="21">
        <f>SUM(AJ11:AJ16)</f>
        <v>74</v>
      </c>
      <c r="AK17" s="21">
        <f t="shared" ref="AK17:AL17" si="6">SUM(AK11:AK16)</f>
        <v>50</v>
      </c>
      <c r="AL17" s="21">
        <f t="shared" si="6"/>
        <v>24</v>
      </c>
      <c r="AM17" s="19">
        <f>AK17/AJ17</f>
        <v>0.67567567567567566</v>
      </c>
      <c r="AN17" s="19">
        <f>AL17/AJ17</f>
        <v>0.32432432432432434</v>
      </c>
      <c r="AO17" s="19">
        <f>SUM(AM17:AN17)</f>
        <v>1</v>
      </c>
    </row>
    <row r="19" spans="1:41">
      <c r="A19" t="s">
        <v>21</v>
      </c>
      <c r="B19" t="s">
        <v>40</v>
      </c>
      <c r="C19" t="s">
        <v>37</v>
      </c>
      <c r="D19" t="s">
        <v>41</v>
      </c>
      <c r="E19" t="s">
        <v>46</v>
      </c>
      <c r="F19" t="s">
        <v>20</v>
      </c>
      <c r="H19" s="22" t="s">
        <v>37</v>
      </c>
      <c r="I19" s="23">
        <f>SUM(C20:C50)</f>
        <v>100000</v>
      </c>
      <c r="J19" s="24"/>
      <c r="L19" t="s">
        <v>53</v>
      </c>
      <c r="N19" s="22" t="s">
        <v>96</v>
      </c>
      <c r="O19" t="s">
        <v>97</v>
      </c>
    </row>
    <row r="20" spans="1:41">
      <c r="A20" s="7">
        <f>apoio2!E$7</f>
        <v>43497</v>
      </c>
      <c r="B20">
        <f t="shared" ref="B20:B50" si="7">IFERROR(WEEKDAY(A20,1),"")</f>
        <v>6</v>
      </c>
      <c r="C20" s="6">
        <f t="shared" ref="C20:C50" si="8">(IF(OR(B20=1,B20=7,B20=""),0,5000))</f>
        <v>5000</v>
      </c>
      <c r="D20" s="6">
        <f>SUMIF(BD!A:A,apoio2!A20,BD!I:I)</f>
        <v>1289.47</v>
      </c>
      <c r="E20" s="6">
        <f>SUMIF(BD!A:A,apoio2!A20,BD!K:K)</f>
        <v>900</v>
      </c>
      <c r="F20" s="6">
        <f>SUMIF(BD!A:A,apoio2!A20,BD!L:L)</f>
        <v>234.73360000000002</v>
      </c>
      <c r="H20" s="22" t="s">
        <v>38</v>
      </c>
      <c r="I20" s="23">
        <f>SUM(D20:D50)</f>
        <v>156663.82838999998</v>
      </c>
      <c r="J20" s="25">
        <f>I20/I19</f>
        <v>1.5666382838999997</v>
      </c>
      <c r="L20" t="s">
        <v>54</v>
      </c>
      <c r="N20" s="22" t="s">
        <v>43</v>
      </c>
      <c r="O20">
        <f>COUNTIFS(BD!$B:$B,MONTH(apoio2!$E$7),BD!$S:$S,apoio2!$N20)</f>
        <v>26</v>
      </c>
      <c r="P20" s="19">
        <f>O20/$O$22</f>
        <v>0.35135135135135137</v>
      </c>
    </row>
    <row r="21" spans="1:41">
      <c r="A21" s="7">
        <f>apoio2!F$7</f>
        <v>43498</v>
      </c>
      <c r="B21">
        <f t="shared" si="7"/>
        <v>7</v>
      </c>
      <c r="C21" s="6">
        <f t="shared" si="8"/>
        <v>0</v>
      </c>
      <c r="D21" s="6">
        <f>SUMIF(BD!A:A,apoio2!A21,BD!I:I)</f>
        <v>2197.17</v>
      </c>
      <c r="E21" s="6">
        <f>SUMIF(BD!A:A,apoio2!A21,BD!K:K)</f>
        <v>1650</v>
      </c>
      <c r="F21" s="6">
        <f>SUMIF(BD!A:A,apoio2!A21,BD!L:L)</f>
        <v>283.50960000000009</v>
      </c>
      <c r="H21" s="22" t="s">
        <v>39</v>
      </c>
      <c r="I21" s="26">
        <f>I19-I20</f>
        <v>-56663.828389999981</v>
      </c>
      <c r="J21" s="25">
        <f>IF(I21/I19&lt;0,0,I21/I19)</f>
        <v>0</v>
      </c>
      <c r="L21" t="s">
        <v>55</v>
      </c>
      <c r="N21" s="22" t="s">
        <v>42</v>
      </c>
      <c r="O21">
        <f>COUNTIFS(BD!$B:$B,MONTH(apoio2!$E$7),BD!$S:$S,apoio2!$N21)</f>
        <v>48</v>
      </c>
      <c r="P21" s="19">
        <f t="shared" ref="P21:P22" si="9">O21/$O$22</f>
        <v>0.64864864864864868</v>
      </c>
    </row>
    <row r="22" spans="1:41">
      <c r="A22" s="7">
        <f>apoio2!G$7</f>
        <v>43499</v>
      </c>
      <c r="B22">
        <f t="shared" si="7"/>
        <v>1</v>
      </c>
      <c r="C22" s="6">
        <f t="shared" si="8"/>
        <v>0</v>
      </c>
      <c r="D22" s="6">
        <f>SUMIF(BD!A:A,apoio2!A22,BD!I:I)</f>
        <v>0</v>
      </c>
      <c r="E22" s="6">
        <f>SUMIF(BD!A:A,apoio2!A22,BD!K:K)</f>
        <v>0</v>
      </c>
      <c r="F22" s="6">
        <f>SUMIF(BD!A:A,apoio2!A22,BD!L:L)</f>
        <v>0</v>
      </c>
      <c r="H22" s="22" t="s">
        <v>94</v>
      </c>
      <c r="I22" s="23">
        <f>SUM(E20:E50)</f>
        <v>120455</v>
      </c>
      <c r="J22" s="24"/>
      <c r="L22" t="s">
        <v>56</v>
      </c>
      <c r="O22">
        <f>SUM(O20:O21)</f>
        <v>74</v>
      </c>
      <c r="P22" s="19">
        <f t="shared" si="9"/>
        <v>1</v>
      </c>
    </row>
    <row r="23" spans="1:41">
      <c r="A23" s="7">
        <f>apoio2!H$7</f>
        <v>43500</v>
      </c>
      <c r="B23">
        <f t="shared" si="7"/>
        <v>2</v>
      </c>
      <c r="C23" s="6">
        <f t="shared" si="8"/>
        <v>5000</v>
      </c>
      <c r="D23" s="6">
        <f>SUMIF(BD!A:A,apoio2!A23,BD!I:I)</f>
        <v>2915.94</v>
      </c>
      <c r="E23" s="6">
        <f>SUMIF(BD!A:A,apoio2!A23,BD!K:K)</f>
        <v>1950</v>
      </c>
      <c r="F23" s="6">
        <f>SUMIF(BD!A:A,apoio2!A23,BD!L:L)</f>
        <v>616.02719999999999</v>
      </c>
      <c r="H23" s="22" t="s">
        <v>20</v>
      </c>
      <c r="I23" s="23">
        <f>SUM(F20:F50)</f>
        <v>17409.168983199997</v>
      </c>
      <c r="J23" s="24"/>
      <c r="L23" t="s">
        <v>57</v>
      </c>
    </row>
    <row r="24" spans="1:41">
      <c r="A24" s="7">
        <f>apoio2!I$7</f>
        <v>43501</v>
      </c>
      <c r="B24">
        <f t="shared" si="7"/>
        <v>3</v>
      </c>
      <c r="C24" s="6">
        <f t="shared" si="8"/>
        <v>5000</v>
      </c>
      <c r="D24" s="6">
        <f>SUMIF(BD!A:A,apoio2!A24,BD!I:I)</f>
        <v>5846.2000000000007</v>
      </c>
      <c r="E24" s="6">
        <f>SUMIF(BD!A:A,apoio2!A24,BD!K:K)</f>
        <v>4200</v>
      </c>
      <c r="F24" s="6">
        <f>SUMIF(BD!A:A,apoio2!A24,BD!L:L)</f>
        <v>944.65600000000018</v>
      </c>
      <c r="L24" t="s">
        <v>58</v>
      </c>
    </row>
    <row r="25" spans="1:41">
      <c r="A25" s="7">
        <f>apoio2!J$7</f>
        <v>43502</v>
      </c>
      <c r="B25">
        <f t="shared" si="7"/>
        <v>4</v>
      </c>
      <c r="C25" s="6">
        <f t="shared" si="8"/>
        <v>5000</v>
      </c>
      <c r="D25" s="6">
        <f>SUMIF(BD!A:A,apoio2!A25,BD!I:I)</f>
        <v>6813.8152074999998</v>
      </c>
      <c r="E25" s="6">
        <f>SUMIF(BD!A:A,apoio2!A25,BD!K:K)</f>
        <v>5250</v>
      </c>
      <c r="F25" s="6">
        <f>SUMIF(BD!A:A,apoio2!A25,BD!L:L)</f>
        <v>746.15738260000035</v>
      </c>
      <c r="L25" t="s">
        <v>59</v>
      </c>
    </row>
    <row r="26" spans="1:41">
      <c r="A26" s="7">
        <f>apoio2!K$7</f>
        <v>43503</v>
      </c>
      <c r="B26">
        <f t="shared" si="7"/>
        <v>5</v>
      </c>
      <c r="C26" s="6">
        <f t="shared" si="8"/>
        <v>5000</v>
      </c>
      <c r="D26" s="6">
        <f>SUMIF(BD!A:A,apoio2!A26,BD!I:I)</f>
        <v>1217.47</v>
      </c>
      <c r="E26" s="6">
        <f>SUMIF(BD!A:A,apoio2!A26,BD!K:K)</f>
        <v>900</v>
      </c>
      <c r="F26" s="6">
        <f>SUMIF(BD!A:A,apoio2!A26,BD!L:L)</f>
        <v>171.37360000000012</v>
      </c>
      <c r="L26" t="s">
        <v>60</v>
      </c>
    </row>
    <row r="27" spans="1:41">
      <c r="A27" s="7">
        <f>apoio2!L$7</f>
        <v>43504</v>
      </c>
      <c r="B27">
        <f t="shared" si="7"/>
        <v>6</v>
      </c>
      <c r="C27" s="6">
        <f t="shared" si="8"/>
        <v>5000</v>
      </c>
      <c r="D27" s="6">
        <f>SUMIF(BD!A:A,apoio2!A27,BD!I:I)</f>
        <v>3934.88</v>
      </c>
      <c r="E27" s="6">
        <f>SUMIF(BD!A:A,apoio2!A27,BD!K:K)</f>
        <v>3250</v>
      </c>
      <c r="F27" s="6">
        <f>SUMIF(BD!A:A,apoio2!A27,BD!L:L)</f>
        <v>212.69440000000031</v>
      </c>
      <c r="L27" t="s">
        <v>61</v>
      </c>
    </row>
    <row r="28" spans="1:41">
      <c r="A28" s="7">
        <f>apoio2!M$7</f>
        <v>43505</v>
      </c>
      <c r="B28">
        <f t="shared" si="7"/>
        <v>7</v>
      </c>
      <c r="C28" s="6">
        <f t="shared" si="8"/>
        <v>0</v>
      </c>
      <c r="D28" s="6">
        <f>SUMIF(BD!A:A,apoio2!A28,BD!I:I)</f>
        <v>7781.0300000000007</v>
      </c>
      <c r="E28" s="6">
        <f>SUMIF(BD!A:A,apoio2!A28,BD!K:K)</f>
        <v>6200</v>
      </c>
      <c r="F28" s="6">
        <f>SUMIF(BD!A:A,apoio2!A28,BD!L:L)</f>
        <v>647.30640000000039</v>
      </c>
      <c r="L28" t="s">
        <v>62</v>
      </c>
    </row>
    <row r="29" spans="1:41">
      <c r="A29" s="7">
        <f>apoio2!N$7</f>
        <v>43506</v>
      </c>
      <c r="B29">
        <f t="shared" si="7"/>
        <v>1</v>
      </c>
      <c r="C29" s="6">
        <f t="shared" si="8"/>
        <v>0</v>
      </c>
      <c r="D29" s="6">
        <f>SUMIF(BD!A:A,apoio2!A29,BD!I:I)</f>
        <v>0</v>
      </c>
      <c r="E29" s="6">
        <f>SUMIF(BD!A:A,apoio2!A29,BD!K:K)</f>
        <v>0</v>
      </c>
      <c r="F29" s="6">
        <f>SUMIF(BD!A:A,apoio2!A29,BD!L:L)</f>
        <v>0</v>
      </c>
      <c r="L29" t="s">
        <v>63</v>
      </c>
    </row>
    <row r="30" spans="1:41">
      <c r="A30" s="7">
        <f>apoio2!O$7</f>
        <v>43507</v>
      </c>
      <c r="B30">
        <f t="shared" si="7"/>
        <v>2</v>
      </c>
      <c r="C30" s="6">
        <f t="shared" si="8"/>
        <v>5000</v>
      </c>
      <c r="D30" s="6">
        <f>SUMIF(BD!A:A,apoio2!A30,BD!I:I)</f>
        <v>2512.19</v>
      </c>
      <c r="E30" s="6">
        <f>SUMIF(BD!A:A,apoio2!A30,BD!K:K)</f>
        <v>2000</v>
      </c>
      <c r="F30" s="6">
        <f>SUMIF(BD!A:A,apoio2!A30,BD!L:L)</f>
        <v>210.72720000000027</v>
      </c>
      <c r="L30" t="s">
        <v>64</v>
      </c>
      <c r="P30" s="27"/>
      <c r="Q30" s="27"/>
      <c r="R30" s="27"/>
      <c r="S30" s="27"/>
      <c r="T30" s="27"/>
    </row>
    <row r="31" spans="1:41">
      <c r="A31" s="7">
        <f>apoio2!P$7</f>
        <v>43508</v>
      </c>
      <c r="B31">
        <f t="shared" si="7"/>
        <v>3</v>
      </c>
      <c r="C31" s="6">
        <f t="shared" si="8"/>
        <v>5000</v>
      </c>
      <c r="D31" s="6">
        <f>SUMIF(BD!A:A,apoio2!A31,BD!I:I)</f>
        <v>4366.2800000000007</v>
      </c>
      <c r="E31" s="6">
        <f>SUMIF(BD!A:A,apoio2!A31,BD!K:K)</f>
        <v>3250</v>
      </c>
      <c r="F31" s="6">
        <f>SUMIF(BD!A:A,apoio2!A31,BD!L:L)</f>
        <v>592.32640000000004</v>
      </c>
      <c r="P31" s="27"/>
      <c r="Q31" s="27"/>
      <c r="R31" s="27"/>
      <c r="S31" s="27"/>
      <c r="T31" s="27"/>
    </row>
    <row r="32" spans="1:41">
      <c r="A32" s="7">
        <f>apoio2!Q$7</f>
        <v>43509</v>
      </c>
      <c r="B32">
        <f t="shared" si="7"/>
        <v>4</v>
      </c>
      <c r="C32" s="6">
        <f t="shared" si="8"/>
        <v>5000</v>
      </c>
      <c r="D32" s="6">
        <f>SUMIF(BD!A:A,apoio2!A32,BD!I:I)</f>
        <v>15823.02</v>
      </c>
      <c r="E32" s="6">
        <f>SUMIF(BD!A:A,apoio2!A32,BD!K:K)</f>
        <v>11950</v>
      </c>
      <c r="F32" s="6">
        <f>SUMIF(BD!A:A,apoio2!A32,BD!L:L)</f>
        <v>1974.2576000000004</v>
      </c>
      <c r="P32" s="28"/>
      <c r="Q32" s="27"/>
      <c r="R32" s="27"/>
      <c r="S32" s="28"/>
      <c r="T32" s="27"/>
    </row>
    <row r="33" spans="1:20">
      <c r="A33" s="7">
        <f>apoio2!R$7</f>
        <v>43510</v>
      </c>
      <c r="B33">
        <f t="shared" si="7"/>
        <v>5</v>
      </c>
      <c r="C33" s="6">
        <f t="shared" si="8"/>
        <v>5000</v>
      </c>
      <c r="D33" s="6">
        <f>SUMIF(BD!A:A,apoio2!A33,BD!I:I)</f>
        <v>8397.8788400000012</v>
      </c>
      <c r="E33" s="6">
        <f>SUMIF(BD!A:A,apoio2!A33,BD!K:K)</f>
        <v>6200</v>
      </c>
      <c r="F33" s="6">
        <f>SUMIF(BD!A:A,apoio2!A33,BD!L:L)</f>
        <v>1190.1333792000003</v>
      </c>
      <c r="P33" s="27"/>
      <c r="Q33" s="27"/>
      <c r="R33" s="27"/>
      <c r="S33" s="27"/>
      <c r="T33" s="27"/>
    </row>
    <row r="34" spans="1:20">
      <c r="A34" s="7">
        <f>apoio2!S$7</f>
        <v>43511</v>
      </c>
      <c r="B34">
        <f t="shared" si="7"/>
        <v>6</v>
      </c>
      <c r="C34" s="6">
        <f t="shared" si="8"/>
        <v>5000</v>
      </c>
      <c r="D34" s="6">
        <f>SUMIF(BD!A:A,apoio2!A34,BD!I:I)</f>
        <v>6722.2261075000006</v>
      </c>
      <c r="E34" s="6">
        <f>SUMIF(BD!A:A,apoio2!A34,BD!K:K)</f>
        <v>4950</v>
      </c>
      <c r="F34" s="6">
        <f>SUMIF(BD!A:A,apoio2!A34,BD!L:L)</f>
        <v>965.55897460000006</v>
      </c>
      <c r="P34" s="27"/>
      <c r="Q34" s="27"/>
      <c r="R34" s="27"/>
      <c r="S34" s="27"/>
      <c r="T34" s="27"/>
    </row>
    <row r="35" spans="1:20">
      <c r="A35" s="7">
        <f>apoio2!T$7</f>
        <v>43512</v>
      </c>
      <c r="B35">
        <f t="shared" si="7"/>
        <v>7</v>
      </c>
      <c r="C35" s="6">
        <f t="shared" si="8"/>
        <v>0</v>
      </c>
      <c r="D35" s="6">
        <f>SUMIF(BD!A:A,apoio2!A35,BD!I:I)</f>
        <v>6017.8</v>
      </c>
      <c r="E35" s="6">
        <f>SUMIF(BD!A:A,apoio2!A35,BD!K:K)</f>
        <v>4450</v>
      </c>
      <c r="F35" s="6">
        <f>SUMIF(BD!A:A,apoio2!A35,BD!L:L)</f>
        <v>845.66400000000021</v>
      </c>
      <c r="P35" s="27"/>
      <c r="Q35" s="27"/>
      <c r="R35" s="27"/>
      <c r="S35" s="29"/>
      <c r="T35" s="27"/>
    </row>
    <row r="36" spans="1:20">
      <c r="A36" s="7">
        <f>apoio2!U$7</f>
        <v>43513</v>
      </c>
      <c r="B36">
        <f t="shared" si="7"/>
        <v>1</v>
      </c>
      <c r="C36" s="6">
        <f t="shared" si="8"/>
        <v>0</v>
      </c>
      <c r="D36" s="6">
        <f>SUMIF(BD!A:A,apoio2!A36,BD!I:I)</f>
        <v>0</v>
      </c>
      <c r="E36" s="6">
        <f>SUMIF(BD!A:A,apoio2!A36,BD!K:K)</f>
        <v>0</v>
      </c>
      <c r="F36" s="6">
        <f>SUMIF(BD!A:A,apoio2!A36,BD!L:L)</f>
        <v>0</v>
      </c>
      <c r="P36" s="27"/>
      <c r="Q36" s="27"/>
      <c r="R36" s="27"/>
      <c r="S36" s="27"/>
      <c r="T36" s="27"/>
    </row>
    <row r="37" spans="1:20">
      <c r="A37" s="7">
        <f>apoio2!V$7</f>
        <v>43514</v>
      </c>
      <c r="B37">
        <f t="shared" si="7"/>
        <v>2</v>
      </c>
      <c r="C37" s="6">
        <f t="shared" si="8"/>
        <v>5000</v>
      </c>
      <c r="D37" s="6">
        <f>SUMIF(BD!A:A,apoio2!A37,BD!I:I)</f>
        <v>5572.5125050000006</v>
      </c>
      <c r="E37" s="6">
        <f>SUMIF(BD!A:A,apoio2!A37,BD!K:K)</f>
        <v>4385</v>
      </c>
      <c r="F37" s="6">
        <f>SUMIF(BD!A:A,apoio2!A37,BD!L:L)</f>
        <v>518.81100440000023</v>
      </c>
      <c r="P37" s="27"/>
      <c r="Q37" s="27"/>
      <c r="R37" s="27"/>
      <c r="S37" s="27"/>
      <c r="T37" s="27"/>
    </row>
    <row r="38" spans="1:20">
      <c r="A38" s="7">
        <f>apoio2!W$7</f>
        <v>43515</v>
      </c>
      <c r="B38">
        <f t="shared" si="7"/>
        <v>3</v>
      </c>
      <c r="C38" s="6">
        <f t="shared" si="8"/>
        <v>5000</v>
      </c>
      <c r="D38" s="6">
        <f>SUMIF(BD!A:A,apoio2!A38,BD!I:I)</f>
        <v>5006.9699999999993</v>
      </c>
      <c r="E38" s="6">
        <f>SUMIF(BD!A:A,apoio2!A38,BD!K:K)</f>
        <v>3210</v>
      </c>
      <c r="F38" s="6">
        <f>SUMIF(BD!A:A,apoio2!A38,BD!L:L)</f>
        <v>1196.1335999999999</v>
      </c>
      <c r="P38" s="27"/>
      <c r="Q38" s="27"/>
      <c r="R38" s="27"/>
      <c r="S38" s="27"/>
      <c r="T38" s="27"/>
    </row>
    <row r="39" spans="1:20">
      <c r="A39" s="7">
        <f>apoio2!X$7</f>
        <v>43516</v>
      </c>
      <c r="B39">
        <f t="shared" si="7"/>
        <v>4</v>
      </c>
      <c r="C39" s="6">
        <f t="shared" si="8"/>
        <v>5000</v>
      </c>
      <c r="D39" s="6">
        <f>SUMIF(BD!A:A,apoio2!A39,BD!I:I)</f>
        <v>15312.649999999998</v>
      </c>
      <c r="E39" s="6">
        <f>SUMIF(BD!A:A,apoio2!A39,BD!K:K)</f>
        <v>11810</v>
      </c>
      <c r="F39" s="6">
        <f>SUMIF(BD!A:A,apoio2!A39,BD!L:L)</f>
        <v>1665.1319999999998</v>
      </c>
    </row>
    <row r="40" spans="1:20">
      <c r="A40" s="7">
        <f>apoio2!Y$7</f>
        <v>43517</v>
      </c>
      <c r="B40">
        <f t="shared" si="7"/>
        <v>5</v>
      </c>
      <c r="C40" s="6">
        <f t="shared" si="8"/>
        <v>5000</v>
      </c>
      <c r="D40" s="6">
        <f>SUMIF(BD!A:A,apoio2!A40,BD!I:I)</f>
        <v>10184.657729999999</v>
      </c>
      <c r="E40" s="6">
        <f>SUMIF(BD!A:A,apoio2!A40,BD!K:K)</f>
        <v>7900</v>
      </c>
      <c r="F40" s="6">
        <f>SUMIF(BD!A:A,apoio2!A40,BD!L:L)</f>
        <v>1062.4988023999992</v>
      </c>
    </row>
    <row r="41" spans="1:20">
      <c r="A41" s="7">
        <f>apoio2!Z$7</f>
        <v>43518</v>
      </c>
      <c r="B41">
        <f t="shared" si="7"/>
        <v>6</v>
      </c>
      <c r="C41" s="6">
        <f t="shared" si="8"/>
        <v>5000</v>
      </c>
      <c r="D41" s="6">
        <f>SUMIF(BD!A:A,apoio2!A41,BD!I:I)</f>
        <v>3983.634</v>
      </c>
      <c r="E41" s="6">
        <f>SUMIF(BD!A:A,apoio2!A41,BD!K:K)</f>
        <v>3000</v>
      </c>
      <c r="F41" s="6">
        <f>SUMIF(BD!A:A,apoio2!A41,BD!L:L)</f>
        <v>505.59791999999993</v>
      </c>
    </row>
    <row r="42" spans="1:20">
      <c r="A42" s="7">
        <f>apoio2!AA$7</f>
        <v>43519</v>
      </c>
      <c r="B42">
        <f t="shared" si="7"/>
        <v>7</v>
      </c>
      <c r="C42" s="6">
        <f t="shared" si="8"/>
        <v>0</v>
      </c>
      <c r="D42" s="6">
        <f>SUMIF(BD!A:A,apoio2!A42,BD!I:I)</f>
        <v>1642.5</v>
      </c>
      <c r="E42" s="6">
        <f>SUMIF(BD!A:A,apoio2!A42,BD!K:K)</f>
        <v>1050</v>
      </c>
      <c r="F42" s="6">
        <f>SUMIF(BD!A:A,apoio2!A42,BD!L:L)</f>
        <v>395.40000000000009</v>
      </c>
    </row>
    <row r="43" spans="1:20">
      <c r="A43" s="7">
        <f>apoio2!AB$7</f>
        <v>43520</v>
      </c>
      <c r="B43">
        <f t="shared" si="7"/>
        <v>1</v>
      </c>
      <c r="C43" s="6">
        <f t="shared" si="8"/>
        <v>0</v>
      </c>
      <c r="D43" s="6">
        <f>SUMIF(BD!A:A,apoio2!A43,BD!I:I)</f>
        <v>0</v>
      </c>
      <c r="E43" s="6">
        <f>SUMIF(BD!A:A,apoio2!A43,BD!K:K)</f>
        <v>0</v>
      </c>
      <c r="F43" s="6">
        <f>SUMIF(BD!A:A,apoio2!A43,BD!L:L)</f>
        <v>0</v>
      </c>
    </row>
    <row r="44" spans="1:20">
      <c r="A44" s="7">
        <f>apoio2!AC$7</f>
        <v>43521</v>
      </c>
      <c r="B44">
        <f t="shared" si="7"/>
        <v>2</v>
      </c>
      <c r="C44" s="6">
        <f t="shared" si="8"/>
        <v>5000</v>
      </c>
      <c r="D44" s="6">
        <f>SUMIF(BD!A:A,apoio2!A44,BD!I:I)</f>
        <v>3598.87</v>
      </c>
      <c r="E44" s="6">
        <f>SUMIF(BD!A:A,apoio2!A44,BD!K:K)</f>
        <v>2880</v>
      </c>
      <c r="F44" s="6">
        <f>SUMIF(BD!A:A,apoio2!A44,BD!L:L)</f>
        <v>287.00560000000013</v>
      </c>
    </row>
    <row r="45" spans="1:20">
      <c r="A45" s="7">
        <f>apoio2!AD$7</f>
        <v>43522</v>
      </c>
      <c r="B45">
        <f t="shared" si="7"/>
        <v>3</v>
      </c>
      <c r="C45" s="6">
        <f t="shared" si="8"/>
        <v>5000</v>
      </c>
      <c r="D45" s="6">
        <f>SUMIF(BD!A:A,apoio2!A45,BD!I:I)</f>
        <v>9345.7939999999981</v>
      </c>
      <c r="E45" s="6">
        <f>SUMIF(BD!A:A,apoio2!A45,BD!K:K)</f>
        <v>7100</v>
      </c>
      <c r="F45" s="6">
        <f>SUMIF(BD!A:A,apoio2!A45,BD!L:L)</f>
        <v>1124.29872</v>
      </c>
    </row>
    <row r="46" spans="1:20">
      <c r="A46" s="7">
        <f>apoio2!AE$7</f>
        <v>43523</v>
      </c>
      <c r="B46">
        <f t="shared" si="7"/>
        <v>4</v>
      </c>
      <c r="C46" s="6">
        <f t="shared" si="8"/>
        <v>5000</v>
      </c>
      <c r="D46" s="6">
        <f>SUMIF(BD!A:A,apoio2!A46,BD!I:I)</f>
        <v>5219.7199999999993</v>
      </c>
      <c r="E46" s="6">
        <f>SUMIF(BD!A:A,apoio2!A46,BD!K:K)</f>
        <v>4300</v>
      </c>
      <c r="F46" s="6">
        <f>SUMIF(BD!A:A,apoio2!A46,BD!L:L)</f>
        <v>293.35359999999991</v>
      </c>
    </row>
    <row r="47" spans="1:20">
      <c r="A47" s="7">
        <f>apoio2!AF$7</f>
        <v>43524</v>
      </c>
      <c r="B47">
        <f t="shared" si="7"/>
        <v>5</v>
      </c>
      <c r="C47" s="6">
        <f t="shared" si="8"/>
        <v>5000</v>
      </c>
      <c r="D47" s="6">
        <f>SUMIF(BD!A:A,apoio2!A47,BD!I:I)</f>
        <v>20961.149999999998</v>
      </c>
      <c r="E47" s="6">
        <f>SUMIF(BD!A:A,apoio2!A47,BD!K:K)</f>
        <v>17720</v>
      </c>
      <c r="F47" s="6">
        <f>SUMIF(BD!A:A,apoio2!A47,BD!L:L)</f>
        <v>725.81199999999967</v>
      </c>
    </row>
    <row r="48" spans="1:20">
      <c r="A48" s="7" t="str">
        <f>apoio2!AG$7</f>
        <v/>
      </c>
      <c r="B48" t="str">
        <f t="shared" si="7"/>
        <v/>
      </c>
      <c r="C48" s="6">
        <f t="shared" si="8"/>
        <v>0</v>
      </c>
      <c r="D48" s="6">
        <f>SUMIF(BD!A:A,apoio2!A48,BD!I:I)</f>
        <v>0</v>
      </c>
      <c r="E48" s="6">
        <f>SUMIF(BD!A:A,apoio2!A48,BD!K:K)</f>
        <v>0</v>
      </c>
      <c r="F48" s="6">
        <f>SUMIF(BD!A:A,apoio2!A48,BD!L:L)</f>
        <v>0</v>
      </c>
    </row>
    <row r="49" spans="1:20">
      <c r="A49" s="7" t="str">
        <f>apoio2!AH$7</f>
        <v/>
      </c>
      <c r="B49" t="str">
        <f t="shared" si="7"/>
        <v/>
      </c>
      <c r="C49" s="6">
        <f t="shared" si="8"/>
        <v>0</v>
      </c>
      <c r="D49" s="6">
        <f>SUMIF(BD!A:A,apoio2!A49,BD!I:I)</f>
        <v>0</v>
      </c>
      <c r="E49" s="6">
        <f>SUMIF(BD!A:A,apoio2!A49,BD!K:K)</f>
        <v>0</v>
      </c>
      <c r="F49" s="6">
        <f>SUMIF(BD!A:A,apoio2!A49,BD!L:L)</f>
        <v>0</v>
      </c>
    </row>
    <row r="50" spans="1:20">
      <c r="A50" s="7" t="str">
        <f>apoio2!AI$7</f>
        <v/>
      </c>
      <c r="B50" t="str">
        <f t="shared" si="7"/>
        <v/>
      </c>
      <c r="C50" s="6">
        <f t="shared" si="8"/>
        <v>0</v>
      </c>
      <c r="D50" s="6">
        <f>SUMIF(BD!A:A,apoio2!A50,BD!I:I)</f>
        <v>0</v>
      </c>
      <c r="E50" s="6">
        <f>SUMIF(BD!A:A,apoio2!A50,BD!K:K)</f>
        <v>0</v>
      </c>
      <c r="F50" s="6">
        <f>SUMIF(BD!A:A,apoio2!A50,BD!L:L)</f>
        <v>0</v>
      </c>
    </row>
    <row r="51" spans="1:20">
      <c r="T51" s="30"/>
    </row>
  </sheetData>
  <sheetProtection formatCells="0" selectLockedCells="1" selectUnlockedCell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2205F-A4A6-4261-92C4-976E53336344}">
  <dimension ref="T32:W37"/>
  <sheetViews>
    <sheetView zoomScale="90" zoomScaleNormal="90" workbookViewId="0">
      <selection activeCell="L3" sqref="L3"/>
    </sheetView>
  </sheetViews>
  <sheetFormatPr defaultRowHeight="14.4"/>
  <cols>
    <col min="1" max="16384" width="8.88671875" style="31"/>
  </cols>
  <sheetData>
    <row r="32" spans="20:23" ht="15.6">
      <c r="T32" s="32" t="s">
        <v>38</v>
      </c>
      <c r="W32" s="32" t="s">
        <v>47</v>
      </c>
    </row>
    <row r="37" spans="20:20" ht="15.6">
      <c r="T37" s="32" t="s">
        <v>95</v>
      </c>
    </row>
  </sheetData>
  <sheetProtection algorithmName="SHA-512" hashValue="IMCuKV/LHTSARHW8Mfnjcz9j/XyCFWiQZFcgh6c7iIwTzNyUbSgjxCYg+6lzrsceXYy3nBGjP11HpYvyA6GobQ==" saltValue="x087YUGWt4688EGBZb+6ow==" spinCount="100000" sheet="1" objects="1" scenarios="1" selectLockedCells="1" selectUnlockedCells="1"/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0</xdr:col>
                    <xdr:colOff>137160</xdr:colOff>
                    <xdr:row>6</xdr:row>
                    <xdr:rowOff>60960</xdr:rowOff>
                  </from>
                  <to>
                    <xdr:col>2</xdr:col>
                    <xdr:colOff>297180</xdr:colOff>
                    <xdr:row>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AD54-7582-421C-8C41-A8C656D0F9BE}">
  <dimension ref="A1:J58"/>
  <sheetViews>
    <sheetView workbookViewId="0">
      <selection activeCell="G12" sqref="G12"/>
    </sheetView>
  </sheetViews>
  <sheetFormatPr defaultRowHeight="14.4"/>
  <sheetData>
    <row r="1" spans="1:10" ht="14.4" customHeight="1">
      <c r="A1" s="50" t="s">
        <v>7</v>
      </c>
      <c r="B1" s="51"/>
      <c r="C1" s="52" t="s">
        <v>8</v>
      </c>
      <c r="D1" s="52" t="s">
        <v>10</v>
      </c>
      <c r="E1" s="52" t="s">
        <v>9</v>
      </c>
      <c r="F1" s="52" t="s">
        <v>11</v>
      </c>
      <c r="G1" s="53" t="s">
        <v>12</v>
      </c>
      <c r="H1" s="52" t="s">
        <v>13</v>
      </c>
      <c r="I1" s="52" t="s">
        <v>14</v>
      </c>
      <c r="J1" s="54" t="s">
        <v>15</v>
      </c>
    </row>
    <row r="2" spans="1:10">
      <c r="A2" s="5">
        <v>0</v>
      </c>
      <c r="B2" s="5">
        <v>50</v>
      </c>
      <c r="C2" s="1">
        <v>390</v>
      </c>
      <c r="D2" s="1">
        <v>446.89949999999999</v>
      </c>
      <c r="E2" s="1">
        <v>446.89949999999999</v>
      </c>
      <c r="F2" s="1">
        <v>446.89949999999999</v>
      </c>
      <c r="G2" s="1">
        <v>472.22249999999997</v>
      </c>
      <c r="H2" s="1">
        <v>585.92999999999995</v>
      </c>
      <c r="I2" s="1">
        <v>743.72</v>
      </c>
      <c r="J2" s="2">
        <v>1070</v>
      </c>
    </row>
    <row r="3" spans="1:10">
      <c r="A3" s="5">
        <v>51</v>
      </c>
      <c r="B3" s="5">
        <v>100</v>
      </c>
      <c r="C3" s="1">
        <v>467.59610750000002</v>
      </c>
      <c r="D3" s="1">
        <v>486.5745</v>
      </c>
      <c r="E3" s="1">
        <v>486.5745</v>
      </c>
      <c r="F3" s="1">
        <v>486.5745</v>
      </c>
      <c r="G3" s="1">
        <v>514.46199999999999</v>
      </c>
      <c r="H3" s="1">
        <v>815.12</v>
      </c>
      <c r="I3" s="1">
        <v>1045.48</v>
      </c>
      <c r="J3" s="2">
        <v>1297.43</v>
      </c>
    </row>
    <row r="4" spans="1:10">
      <c r="A4" s="5">
        <v>101</v>
      </c>
      <c r="B4" s="5">
        <v>150</v>
      </c>
      <c r="C4" s="1">
        <v>510.98692999999992</v>
      </c>
      <c r="D4" s="1">
        <v>576.5</v>
      </c>
      <c r="E4" s="1">
        <v>576.5</v>
      </c>
      <c r="F4" s="1">
        <v>576.5</v>
      </c>
      <c r="G4" s="1">
        <v>807.39</v>
      </c>
      <c r="H4" s="1">
        <v>898.97</v>
      </c>
      <c r="I4" s="1">
        <v>1069.76</v>
      </c>
      <c r="J4" s="2">
        <v>1572.83</v>
      </c>
    </row>
    <row r="5" spans="1:10">
      <c r="A5" s="5">
        <v>151</v>
      </c>
      <c r="B5" s="5">
        <v>200</v>
      </c>
      <c r="C5" s="1">
        <v>645.39200000000005</v>
      </c>
      <c r="D5" s="1">
        <v>670.2</v>
      </c>
      <c r="E5" s="1">
        <v>670.2</v>
      </c>
      <c r="F5" s="1">
        <v>670.2</v>
      </c>
      <c r="G5" s="1">
        <v>935.31</v>
      </c>
      <c r="H5" s="1">
        <v>1033.1300000000001</v>
      </c>
      <c r="I5" s="1">
        <v>1332.52</v>
      </c>
      <c r="J5" s="2">
        <v>1917.95</v>
      </c>
    </row>
    <row r="6" spans="1:10">
      <c r="A6" s="5">
        <v>201</v>
      </c>
      <c r="B6" s="5">
        <v>250</v>
      </c>
      <c r="C6" s="1">
        <v>796.44</v>
      </c>
      <c r="D6" s="1">
        <v>843</v>
      </c>
      <c r="E6" s="1">
        <v>843</v>
      </c>
      <c r="F6" s="1">
        <v>843</v>
      </c>
      <c r="G6" s="1">
        <v>1145.96</v>
      </c>
      <c r="H6" s="1">
        <v>1188.45</v>
      </c>
      <c r="I6" s="1">
        <v>1495.37</v>
      </c>
      <c r="J6" s="2">
        <v>2364.91</v>
      </c>
    </row>
    <row r="7" spans="1:10">
      <c r="A7" s="5">
        <v>251</v>
      </c>
      <c r="B7" s="5">
        <v>300</v>
      </c>
      <c r="C7" s="1">
        <v>987.53599999999994</v>
      </c>
      <c r="D7" s="1">
        <v>1026.5999999999999</v>
      </c>
      <c r="E7" s="1">
        <v>1026.5999999999999</v>
      </c>
      <c r="F7" s="1">
        <v>1026.5999999999999</v>
      </c>
      <c r="G7" s="1">
        <v>1462.98</v>
      </c>
      <c r="H7" s="1">
        <v>1586.54</v>
      </c>
      <c r="I7" s="1">
        <v>1805.32</v>
      </c>
      <c r="J7" s="2">
        <v>2802.94</v>
      </c>
    </row>
    <row r="8" spans="1:10">
      <c r="A8" s="5">
        <v>301</v>
      </c>
      <c r="B8" s="5">
        <v>350</v>
      </c>
      <c r="C8" s="1">
        <v>1019.81</v>
      </c>
      <c r="D8" s="1">
        <v>1080.96</v>
      </c>
      <c r="E8" s="1">
        <v>1080.96</v>
      </c>
      <c r="F8" s="1">
        <v>1080.96</v>
      </c>
      <c r="G8" s="1">
        <v>1512.4</v>
      </c>
      <c r="H8" s="1">
        <v>1648.35</v>
      </c>
      <c r="I8" s="1">
        <v>1869.41</v>
      </c>
      <c r="J8" s="2">
        <v>3047.42</v>
      </c>
    </row>
    <row r="9" spans="1:10">
      <c r="A9" s="5">
        <v>351</v>
      </c>
      <c r="B9" s="5">
        <v>400</v>
      </c>
      <c r="C9" s="1">
        <v>1039.26</v>
      </c>
      <c r="D9" s="1">
        <v>1101.3</v>
      </c>
      <c r="E9" s="1">
        <v>1101.3</v>
      </c>
      <c r="F9" s="1">
        <v>1101.3</v>
      </c>
      <c r="G9" s="1">
        <v>1576.98</v>
      </c>
      <c r="H9" s="1">
        <v>1712.8</v>
      </c>
      <c r="I9" s="1">
        <v>2036.8</v>
      </c>
      <c r="J9" s="2">
        <v>3107.99</v>
      </c>
    </row>
    <row r="10" spans="1:10">
      <c r="A10" s="5">
        <v>401</v>
      </c>
      <c r="B10" s="5">
        <v>450</v>
      </c>
      <c r="C10" s="1">
        <v>1071.4207999999999</v>
      </c>
      <c r="D10" s="1">
        <v>1113.98</v>
      </c>
      <c r="E10" s="1">
        <v>1113.98</v>
      </c>
      <c r="F10" s="1">
        <v>1113.98</v>
      </c>
      <c r="G10" s="1">
        <v>1686.3</v>
      </c>
      <c r="H10" s="1">
        <v>1911.96</v>
      </c>
      <c r="I10" s="1">
        <v>2340.52</v>
      </c>
      <c r="J10" s="2">
        <v>3182.57</v>
      </c>
    </row>
    <row r="11" spans="1:10">
      <c r="A11" s="5">
        <v>451</v>
      </c>
      <c r="B11" s="5">
        <v>500</v>
      </c>
      <c r="C11" s="1">
        <v>1103.21</v>
      </c>
      <c r="D11" s="1">
        <v>1125.43</v>
      </c>
      <c r="E11" s="1">
        <v>1125.43</v>
      </c>
      <c r="F11" s="1">
        <v>1125.43</v>
      </c>
      <c r="G11" s="1">
        <v>1741.8225</v>
      </c>
      <c r="H11" s="1">
        <v>2082.12</v>
      </c>
      <c r="I11" s="1">
        <v>2365.3200000000002</v>
      </c>
      <c r="J11" s="2">
        <v>3290</v>
      </c>
    </row>
    <row r="12" spans="1:10">
      <c r="A12" s="5">
        <v>501</v>
      </c>
      <c r="B12" s="5">
        <v>550</v>
      </c>
      <c r="C12" s="1">
        <v>1217.47</v>
      </c>
      <c r="D12" s="1">
        <v>1266.1199999999999</v>
      </c>
      <c r="E12" s="1">
        <v>1266.1199999999999</v>
      </c>
      <c r="F12" s="1">
        <v>1266.1199999999999</v>
      </c>
      <c r="G12" s="1">
        <v>1810.48</v>
      </c>
      <c r="H12" s="1">
        <v>2284.98</v>
      </c>
      <c r="I12" s="1">
        <v>2604.2399999999998</v>
      </c>
      <c r="J12" s="2">
        <v>3409.24</v>
      </c>
    </row>
    <row r="13" spans="1:10">
      <c r="A13" s="5">
        <v>551</v>
      </c>
      <c r="B13" s="5">
        <v>600</v>
      </c>
      <c r="C13" s="1">
        <v>1303.184</v>
      </c>
      <c r="D13" s="1">
        <v>1355.4</v>
      </c>
      <c r="E13" s="1">
        <v>1355.4</v>
      </c>
      <c r="F13" s="1">
        <v>1355.4</v>
      </c>
      <c r="G13" s="1">
        <v>1991.4</v>
      </c>
      <c r="H13" s="1">
        <v>2512.19</v>
      </c>
      <c r="I13" s="1">
        <v>2826.95</v>
      </c>
      <c r="J13" s="2">
        <v>3525.5</v>
      </c>
    </row>
    <row r="14" spans="1:10">
      <c r="A14" s="5">
        <v>601</v>
      </c>
      <c r="B14" s="5">
        <v>650</v>
      </c>
      <c r="C14" s="1">
        <v>1405.2</v>
      </c>
      <c r="D14" s="1">
        <v>1535.8</v>
      </c>
      <c r="E14" s="1">
        <v>1535.8</v>
      </c>
      <c r="F14" s="1">
        <v>1535.8</v>
      </c>
      <c r="G14" s="1">
        <v>2150.4</v>
      </c>
      <c r="H14" s="1">
        <v>2695.3</v>
      </c>
      <c r="I14" s="1">
        <v>3047.08</v>
      </c>
      <c r="J14" s="2">
        <v>3665.68</v>
      </c>
    </row>
    <row r="15" spans="1:10">
      <c r="A15" s="5">
        <v>651</v>
      </c>
      <c r="B15" s="5">
        <v>700</v>
      </c>
      <c r="C15" s="1">
        <v>1478.8</v>
      </c>
      <c r="D15" s="1">
        <v>1642.5</v>
      </c>
      <c r="E15" s="1">
        <v>1642.5</v>
      </c>
      <c r="F15" s="1">
        <v>1642.5</v>
      </c>
      <c r="G15" s="1">
        <v>2197.17</v>
      </c>
      <c r="H15" s="1">
        <v>2948.35</v>
      </c>
      <c r="I15" s="1">
        <v>3299.5</v>
      </c>
      <c r="J15" s="2">
        <v>3934.88</v>
      </c>
    </row>
    <row r="16" spans="1:10">
      <c r="A16" s="5">
        <v>701</v>
      </c>
      <c r="B16" s="5">
        <v>750</v>
      </c>
      <c r="C16" s="1">
        <v>1577.3088399999999</v>
      </c>
      <c r="D16" s="1">
        <v>1785</v>
      </c>
      <c r="E16" s="1">
        <v>1785</v>
      </c>
      <c r="F16" s="1">
        <v>1785</v>
      </c>
      <c r="G16" s="1">
        <v>2379</v>
      </c>
      <c r="H16" s="1">
        <v>3101.21</v>
      </c>
      <c r="I16" s="1">
        <v>3499.5</v>
      </c>
      <c r="J16" s="2">
        <v>4473.2</v>
      </c>
    </row>
    <row r="17" spans="1:10">
      <c r="A17" s="5">
        <v>751</v>
      </c>
      <c r="B17" s="5">
        <v>800</v>
      </c>
      <c r="C17" s="1">
        <v>1661.4652074999999</v>
      </c>
      <c r="D17" s="1">
        <v>1910</v>
      </c>
      <c r="E17" s="1">
        <v>1910</v>
      </c>
      <c r="F17" s="1">
        <v>1910</v>
      </c>
      <c r="G17" s="1">
        <v>2538.5</v>
      </c>
      <c r="H17" s="1">
        <v>3301.21</v>
      </c>
      <c r="I17" s="1">
        <v>3699.5</v>
      </c>
      <c r="J17" s="2">
        <v>4803.5</v>
      </c>
    </row>
    <row r="18" spans="1:10">
      <c r="A18" s="5">
        <v>801</v>
      </c>
      <c r="B18" s="5">
        <v>850</v>
      </c>
      <c r="C18" s="1">
        <v>1766.1125050000001</v>
      </c>
      <c r="D18" s="1">
        <v>1985</v>
      </c>
      <c r="E18" s="1">
        <v>1985</v>
      </c>
      <c r="F18" s="1">
        <v>1985</v>
      </c>
      <c r="G18" s="1">
        <v>2734.2</v>
      </c>
      <c r="H18" s="1">
        <v>3501.21</v>
      </c>
      <c r="I18" s="1">
        <v>3877.4</v>
      </c>
      <c r="J18" s="2">
        <v>4995.2</v>
      </c>
    </row>
    <row r="19" spans="1:10">
      <c r="A19" s="5">
        <v>851</v>
      </c>
      <c r="B19" s="5">
        <v>900</v>
      </c>
      <c r="C19" s="1">
        <v>2041.4589524999999</v>
      </c>
      <c r="D19" s="1">
        <v>2250.79</v>
      </c>
      <c r="E19" s="1">
        <v>2250.79</v>
      </c>
      <c r="F19" s="1">
        <v>2250.79</v>
      </c>
      <c r="G19" s="1">
        <v>3025.67</v>
      </c>
      <c r="H19" s="1">
        <v>3718.89</v>
      </c>
      <c r="I19" s="1">
        <v>4047.12</v>
      </c>
      <c r="J19" s="2">
        <v>5288.32</v>
      </c>
    </row>
    <row r="20" spans="1:10">
      <c r="A20" s="5">
        <v>901</v>
      </c>
      <c r="B20" s="5">
        <v>950</v>
      </c>
      <c r="C20" s="1">
        <v>2542.63</v>
      </c>
      <c r="D20" s="1">
        <v>2675.94</v>
      </c>
      <c r="E20" s="1">
        <v>2675.94</v>
      </c>
      <c r="F20" s="1">
        <v>2675.94</v>
      </c>
      <c r="G20" s="1">
        <v>3493.14</v>
      </c>
      <c r="H20" s="1">
        <v>3941.9</v>
      </c>
      <c r="I20" s="1">
        <v>4536.21</v>
      </c>
      <c r="J20" s="2">
        <v>5588.32</v>
      </c>
    </row>
    <row r="21" spans="1:10">
      <c r="A21" s="5">
        <v>951</v>
      </c>
      <c r="B21" s="5">
        <v>1000</v>
      </c>
      <c r="C21" s="1">
        <v>2637.63</v>
      </c>
      <c r="D21" s="1">
        <v>2771.94</v>
      </c>
      <c r="E21" s="1">
        <v>2771.94</v>
      </c>
      <c r="F21" s="1">
        <v>2771.94</v>
      </c>
      <c r="G21" s="1">
        <v>3663.51</v>
      </c>
      <c r="H21" s="1">
        <v>4063.24</v>
      </c>
      <c r="I21" s="1">
        <v>4795.76</v>
      </c>
      <c r="J21" s="2">
        <v>5888.6</v>
      </c>
    </row>
    <row r="22" spans="1:10">
      <c r="A22" s="5">
        <v>1001</v>
      </c>
      <c r="B22" s="5">
        <v>1100</v>
      </c>
      <c r="C22" s="1">
        <v>2732.63</v>
      </c>
      <c r="D22" s="1">
        <v>2871.17</v>
      </c>
      <c r="E22" s="1">
        <v>2871.17</v>
      </c>
      <c r="F22" s="1">
        <v>2871.17</v>
      </c>
      <c r="G22" s="1">
        <v>3765.1</v>
      </c>
      <c r="H22" s="1">
        <v>4264.24</v>
      </c>
      <c r="I22" s="1">
        <v>4995.09</v>
      </c>
      <c r="J22" s="2">
        <v>6373.16</v>
      </c>
    </row>
    <row r="23" spans="1:10">
      <c r="A23" s="5">
        <v>1101</v>
      </c>
      <c r="B23" s="5">
        <v>1200</v>
      </c>
      <c r="C23" s="1">
        <v>2822.63</v>
      </c>
      <c r="D23" s="1">
        <v>2966.07</v>
      </c>
      <c r="E23" s="1">
        <v>2966.07</v>
      </c>
      <c r="F23" s="1">
        <v>2966.07</v>
      </c>
      <c r="G23" s="1">
        <v>3863.12</v>
      </c>
      <c r="H23" s="1">
        <v>4515.24</v>
      </c>
      <c r="I23" s="1">
        <v>5196.58</v>
      </c>
      <c r="J23" s="2">
        <v>6498.16</v>
      </c>
    </row>
    <row r="24" spans="1:10">
      <c r="A24" s="5">
        <v>1201</v>
      </c>
      <c r="B24" s="5">
        <v>1300</v>
      </c>
      <c r="C24" s="1">
        <v>3022.63</v>
      </c>
      <c r="D24" s="1">
        <v>3166.15</v>
      </c>
      <c r="E24" s="1">
        <v>3166.15</v>
      </c>
      <c r="F24" s="1">
        <v>3166.15</v>
      </c>
      <c r="G24" s="1">
        <v>3906.16</v>
      </c>
      <c r="H24" s="1">
        <v>4541.1000000000004</v>
      </c>
      <c r="I24" s="1">
        <v>5211.54</v>
      </c>
      <c r="J24" s="2">
        <v>6771.09</v>
      </c>
    </row>
    <row r="25" spans="1:10">
      <c r="A25" s="5">
        <v>1301</v>
      </c>
      <c r="B25" s="5">
        <v>1400</v>
      </c>
      <c r="C25" s="1">
        <v>3191.1</v>
      </c>
      <c r="D25" s="1">
        <v>3216.15</v>
      </c>
      <c r="E25" s="1">
        <v>3216.15</v>
      </c>
      <c r="F25" s="1">
        <v>3216.15</v>
      </c>
      <c r="G25" s="1">
        <v>3977.64</v>
      </c>
      <c r="H25" s="1">
        <v>4582.8999999999996</v>
      </c>
      <c r="I25" s="1">
        <v>5316.73</v>
      </c>
      <c r="J25" s="2">
        <v>6982.73</v>
      </c>
    </row>
    <row r="26" spans="1:10">
      <c r="A26" s="5">
        <v>1401</v>
      </c>
      <c r="B26" s="5">
        <v>1500</v>
      </c>
      <c r="C26" s="1">
        <v>3243.1</v>
      </c>
      <c r="D26" s="1">
        <v>3311.16</v>
      </c>
      <c r="E26" s="1">
        <v>3311.16</v>
      </c>
      <c r="F26" s="1">
        <v>3311.16</v>
      </c>
      <c r="G26" s="1">
        <v>4063.64</v>
      </c>
      <c r="H26" s="1">
        <v>4685.1000000000004</v>
      </c>
      <c r="I26" s="1">
        <v>5521.73</v>
      </c>
      <c r="J26" s="2">
        <v>7282.98</v>
      </c>
    </row>
    <row r="27" spans="1:10">
      <c r="A27" s="5">
        <v>1501</v>
      </c>
      <c r="B27" s="5">
        <v>1600</v>
      </c>
      <c r="C27" s="1">
        <v>3986.19</v>
      </c>
      <c r="D27" s="1">
        <v>4081.76</v>
      </c>
      <c r="E27" s="1">
        <v>4081.76</v>
      </c>
      <c r="F27" s="1">
        <v>4081.76</v>
      </c>
      <c r="G27" s="1">
        <v>5146.38</v>
      </c>
      <c r="H27" s="1">
        <v>5708.72</v>
      </c>
      <c r="I27" s="1">
        <v>6690.79</v>
      </c>
      <c r="J27" s="2">
        <v>8438.1299999999992</v>
      </c>
    </row>
    <row r="28" spans="1:10">
      <c r="A28" s="5">
        <v>1601</v>
      </c>
      <c r="B28" s="5">
        <v>1700</v>
      </c>
      <c r="C28" s="1">
        <v>4310.8900000000003</v>
      </c>
      <c r="D28" s="1">
        <v>4602.76</v>
      </c>
      <c r="E28" s="1">
        <v>4602.76</v>
      </c>
      <c r="F28" s="1">
        <v>4602.76</v>
      </c>
      <c r="G28" s="1">
        <v>5503.59</v>
      </c>
      <c r="H28" s="1">
        <v>6065.04</v>
      </c>
      <c r="I28" s="1">
        <v>7290.79</v>
      </c>
      <c r="J28" s="2">
        <v>8836.75</v>
      </c>
    </row>
    <row r="29" spans="1:10">
      <c r="A29" s="5">
        <v>1701</v>
      </c>
      <c r="B29" s="5">
        <v>1800</v>
      </c>
      <c r="C29" s="1">
        <v>4720.87</v>
      </c>
      <c r="D29" s="1">
        <v>5023.79</v>
      </c>
      <c r="E29" s="1">
        <v>5023.79</v>
      </c>
      <c r="F29" s="1">
        <v>5023.79</v>
      </c>
      <c r="G29" s="1">
        <v>5828.79</v>
      </c>
      <c r="H29" s="1">
        <v>6497.14</v>
      </c>
      <c r="I29" s="1">
        <v>7722.79</v>
      </c>
      <c r="J29" s="2">
        <v>9286.3700000000008</v>
      </c>
    </row>
    <row r="30" spans="1:10">
      <c r="A30" s="5">
        <v>1801</v>
      </c>
      <c r="B30" s="5">
        <v>1900</v>
      </c>
      <c r="C30" s="1">
        <v>5222</v>
      </c>
      <c r="D30" s="1">
        <v>5380</v>
      </c>
      <c r="E30" s="1">
        <v>5380</v>
      </c>
      <c r="F30" s="1">
        <v>5380</v>
      </c>
      <c r="G30" s="1">
        <v>5888.71</v>
      </c>
      <c r="H30" s="1">
        <v>7020</v>
      </c>
      <c r="I30" s="1">
        <v>8080</v>
      </c>
      <c r="J30" s="2">
        <v>9730</v>
      </c>
    </row>
    <row r="31" spans="1:10">
      <c r="A31" s="5">
        <v>1901</v>
      </c>
      <c r="B31" s="5">
        <v>2000</v>
      </c>
      <c r="C31" s="1">
        <v>5252.78</v>
      </c>
      <c r="D31" s="1">
        <v>5482.79</v>
      </c>
      <c r="E31" s="1">
        <v>5482.79</v>
      </c>
      <c r="F31" s="1">
        <v>5482.79</v>
      </c>
      <c r="G31" s="1">
        <v>5952.11</v>
      </c>
      <c r="H31" s="1">
        <v>7262.92</v>
      </c>
      <c r="I31" s="1">
        <v>8351.85</v>
      </c>
      <c r="J31" s="2">
        <v>10228.629999999999</v>
      </c>
    </row>
    <row r="32" spans="1:10">
      <c r="A32" s="5">
        <v>2001</v>
      </c>
      <c r="B32" s="5">
        <v>2100</v>
      </c>
      <c r="C32" s="1">
        <v>5342.78</v>
      </c>
      <c r="D32" s="1">
        <v>5559.1</v>
      </c>
      <c r="E32" s="1">
        <v>5559.1</v>
      </c>
      <c r="F32" s="1">
        <v>5559.1</v>
      </c>
      <c r="G32" s="1">
        <v>6032.09</v>
      </c>
      <c r="H32" s="1">
        <v>7371.09</v>
      </c>
      <c r="I32" s="1">
        <v>8409.9500000000007</v>
      </c>
      <c r="J32" s="2">
        <v>10245.620000000001</v>
      </c>
    </row>
    <row r="33" spans="1:10">
      <c r="A33" s="5">
        <v>2101</v>
      </c>
      <c r="B33" s="5">
        <v>2200</v>
      </c>
      <c r="C33" s="1">
        <v>5412.78</v>
      </c>
      <c r="D33" s="1">
        <v>5642.79</v>
      </c>
      <c r="E33" s="1">
        <v>5642.79</v>
      </c>
      <c r="F33" s="1">
        <v>5642.79</v>
      </c>
      <c r="G33" s="1">
        <v>6150.55</v>
      </c>
      <c r="H33" s="1">
        <v>7473.21</v>
      </c>
      <c r="I33" s="1">
        <v>8479.9500000000007</v>
      </c>
      <c r="J33" s="2">
        <v>10330.75</v>
      </c>
    </row>
    <row r="34" spans="1:10">
      <c r="A34" s="5">
        <v>2201</v>
      </c>
      <c r="B34" s="5">
        <v>2300</v>
      </c>
      <c r="C34" s="1">
        <v>5508.17</v>
      </c>
      <c r="D34" s="1">
        <v>5741.1</v>
      </c>
      <c r="E34" s="1">
        <v>5741.1</v>
      </c>
      <c r="F34" s="1">
        <v>5741.1</v>
      </c>
      <c r="G34" s="1">
        <v>6487.32</v>
      </c>
      <c r="H34" s="1">
        <v>7974.13</v>
      </c>
      <c r="I34" s="1">
        <v>8760.65</v>
      </c>
      <c r="J34" s="2">
        <v>11456.71</v>
      </c>
    </row>
    <row r="35" spans="1:10">
      <c r="A35" s="5">
        <v>2301</v>
      </c>
      <c r="B35" s="5">
        <v>2400</v>
      </c>
      <c r="C35" s="1">
        <v>5610.19</v>
      </c>
      <c r="D35" s="1">
        <v>5828.91</v>
      </c>
      <c r="E35" s="1">
        <v>5828.91</v>
      </c>
      <c r="F35" s="1">
        <v>5828.91</v>
      </c>
      <c r="G35" s="1">
        <v>6938.34</v>
      </c>
      <c r="H35" s="1">
        <v>8133.13</v>
      </c>
      <c r="I35" s="1">
        <v>9082.17</v>
      </c>
      <c r="J35" s="2">
        <v>11803.88</v>
      </c>
    </row>
    <row r="36" spans="1:10">
      <c r="A36" s="5">
        <v>2401</v>
      </c>
      <c r="B36" s="5">
        <v>2500</v>
      </c>
      <c r="C36" s="1">
        <v>5820.19</v>
      </c>
      <c r="D36" s="1">
        <v>5942.12</v>
      </c>
      <c r="E36" s="1">
        <v>5942.12</v>
      </c>
      <c r="F36" s="1">
        <v>5942.12</v>
      </c>
      <c r="G36" s="1">
        <v>7096.34</v>
      </c>
      <c r="H36" s="1">
        <v>8389.1299999999992</v>
      </c>
      <c r="I36" s="1">
        <v>9606.1200000000008</v>
      </c>
      <c r="J36" s="2">
        <v>12187.88</v>
      </c>
    </row>
    <row r="37" spans="1:10">
      <c r="A37" s="5">
        <v>2501</v>
      </c>
      <c r="B37" s="5">
        <v>2600</v>
      </c>
      <c r="C37" s="1">
        <v>6071.19</v>
      </c>
      <c r="D37" s="1">
        <v>6193.35</v>
      </c>
      <c r="E37" s="1">
        <v>6193.35</v>
      </c>
      <c r="F37" s="1">
        <v>6193.35</v>
      </c>
      <c r="G37" s="1">
        <v>7349.34</v>
      </c>
      <c r="H37" s="1">
        <v>8781.1299999999992</v>
      </c>
      <c r="I37" s="1">
        <v>9920.17</v>
      </c>
      <c r="J37" s="2">
        <v>12540</v>
      </c>
    </row>
    <row r="38" spans="1:10">
      <c r="A38" s="5">
        <v>2601</v>
      </c>
      <c r="B38" s="5">
        <v>2700</v>
      </c>
      <c r="C38" s="1">
        <v>6327.62</v>
      </c>
      <c r="D38" s="1">
        <v>6488.1</v>
      </c>
      <c r="E38" s="1">
        <v>6488.1</v>
      </c>
      <c r="F38" s="1">
        <v>6488.1</v>
      </c>
      <c r="G38" s="1">
        <v>7599.25</v>
      </c>
      <c r="H38" s="1">
        <v>8961.1299999999992</v>
      </c>
      <c r="I38" s="1">
        <v>10370.1</v>
      </c>
      <c r="J38" s="2">
        <v>12940.12</v>
      </c>
    </row>
    <row r="39" spans="1:10">
      <c r="A39" s="5">
        <v>2701</v>
      </c>
      <c r="B39" s="5">
        <v>2800</v>
      </c>
      <c r="C39" s="1">
        <v>6422.59</v>
      </c>
      <c r="D39" s="1">
        <v>6688.5</v>
      </c>
      <c r="E39" s="1">
        <v>6688.5</v>
      </c>
      <c r="F39" s="1">
        <v>6688.5</v>
      </c>
      <c r="G39" s="1">
        <v>7850.35</v>
      </c>
      <c r="H39" s="1">
        <v>9056.1299999999992</v>
      </c>
      <c r="I39" s="1">
        <v>10907.18</v>
      </c>
      <c r="J39" s="2">
        <v>13097.15</v>
      </c>
    </row>
    <row r="40" spans="1:10">
      <c r="A40" s="5">
        <v>2801</v>
      </c>
      <c r="B40" s="5">
        <v>2900</v>
      </c>
      <c r="C40" s="1">
        <v>6571.67</v>
      </c>
      <c r="D40" s="1">
        <v>7044.21</v>
      </c>
      <c r="E40" s="1">
        <v>7044.21</v>
      </c>
      <c r="F40" s="1">
        <v>7044.21</v>
      </c>
      <c r="G40" s="1">
        <v>8502.4500000000007</v>
      </c>
      <c r="H40" s="1">
        <v>9367.64</v>
      </c>
      <c r="I40" s="1">
        <v>11309.09</v>
      </c>
      <c r="J40" s="2">
        <v>13259.12</v>
      </c>
    </row>
    <row r="41" spans="1:10">
      <c r="A41" s="5">
        <v>2901</v>
      </c>
      <c r="B41" s="5">
        <v>3000</v>
      </c>
      <c r="C41" s="1">
        <v>6984.19</v>
      </c>
      <c r="D41" s="1">
        <v>7273.12</v>
      </c>
      <c r="E41" s="1">
        <v>7273.12</v>
      </c>
      <c r="F41" s="1">
        <v>7273.12</v>
      </c>
      <c r="G41" s="1">
        <v>8787.2099999999991</v>
      </c>
      <c r="H41" s="1">
        <v>9783.74</v>
      </c>
      <c r="I41" s="1">
        <v>11559.18</v>
      </c>
      <c r="J41" s="2">
        <v>13642.1</v>
      </c>
    </row>
    <row r="42" spans="1:10">
      <c r="A42" s="5">
        <v>3001</v>
      </c>
      <c r="B42" s="5">
        <v>3100</v>
      </c>
      <c r="C42" s="1">
        <v>7217.9</v>
      </c>
      <c r="D42" s="1">
        <v>7537.1</v>
      </c>
      <c r="E42" s="1">
        <v>7537.1</v>
      </c>
      <c r="F42" s="1">
        <v>7537.1</v>
      </c>
      <c r="G42" s="1">
        <v>8852.1</v>
      </c>
      <c r="H42" s="1">
        <v>9931.34</v>
      </c>
      <c r="I42" s="1">
        <v>11701.19</v>
      </c>
      <c r="J42" s="2">
        <v>13961.836499999999</v>
      </c>
    </row>
    <row r="43" spans="1:10">
      <c r="A43" s="5">
        <v>3101</v>
      </c>
      <c r="B43" s="5">
        <v>3200</v>
      </c>
      <c r="C43" s="1">
        <v>7271.54</v>
      </c>
      <c r="D43" s="1">
        <v>7682.56</v>
      </c>
      <c r="E43" s="1">
        <v>7682.56</v>
      </c>
      <c r="F43" s="1">
        <v>7682.56</v>
      </c>
      <c r="G43" s="1">
        <v>8944.56</v>
      </c>
      <c r="H43" s="1">
        <v>10021.23</v>
      </c>
      <c r="I43" s="1">
        <v>11942.3</v>
      </c>
      <c r="J43" s="2">
        <v>15030.43</v>
      </c>
    </row>
    <row r="44" spans="1:10">
      <c r="A44" s="5">
        <v>3201</v>
      </c>
      <c r="B44" s="5">
        <v>3300</v>
      </c>
      <c r="C44" s="1">
        <v>7472.6</v>
      </c>
      <c r="D44" s="1">
        <v>7781.88</v>
      </c>
      <c r="E44" s="1">
        <v>7781.88</v>
      </c>
      <c r="F44" s="1">
        <v>7781.88</v>
      </c>
      <c r="G44" s="1">
        <v>9030.66</v>
      </c>
      <c r="H44" s="1">
        <v>10746.81</v>
      </c>
      <c r="I44" s="1">
        <v>12006.29</v>
      </c>
      <c r="J44" s="2">
        <v>15208.5</v>
      </c>
    </row>
    <row r="45" spans="1:10">
      <c r="A45" s="5">
        <v>3301</v>
      </c>
      <c r="B45" s="5">
        <v>3400</v>
      </c>
      <c r="C45" s="1">
        <v>7735.86</v>
      </c>
      <c r="D45" s="1">
        <v>8140.38</v>
      </c>
      <c r="E45" s="1">
        <v>8140.38</v>
      </c>
      <c r="F45" s="1">
        <v>8140.38</v>
      </c>
      <c r="G45" s="1">
        <v>9262.11</v>
      </c>
      <c r="H45" s="1">
        <v>11108.39</v>
      </c>
      <c r="I45" s="1">
        <v>12430.51</v>
      </c>
      <c r="J45" s="2">
        <v>15801.5</v>
      </c>
    </row>
    <row r="46" spans="1:10">
      <c r="A46" s="5">
        <v>3401</v>
      </c>
      <c r="B46" s="5">
        <v>3500</v>
      </c>
      <c r="C46" s="1">
        <v>7912.6</v>
      </c>
      <c r="D46" s="1">
        <v>8406.8700000000008</v>
      </c>
      <c r="E46" s="1">
        <v>8406.8700000000008</v>
      </c>
      <c r="F46" s="1">
        <v>8406.8700000000008</v>
      </c>
      <c r="G46" s="1">
        <v>9690.9500000000007</v>
      </c>
      <c r="H46" s="1">
        <v>11507.27</v>
      </c>
      <c r="I46" s="1">
        <v>12899.55</v>
      </c>
      <c r="J46" s="2">
        <v>16079.22</v>
      </c>
    </row>
    <row r="47" spans="1:10">
      <c r="A47" s="5">
        <v>3501</v>
      </c>
      <c r="B47" s="5">
        <v>3600</v>
      </c>
      <c r="C47" s="1">
        <v>8051.5</v>
      </c>
      <c r="D47" s="1">
        <v>8607.91</v>
      </c>
      <c r="E47" s="1">
        <v>8607.91</v>
      </c>
      <c r="F47" s="1">
        <v>8607.91</v>
      </c>
      <c r="G47" s="1">
        <v>9922.4699999999993</v>
      </c>
      <c r="H47" s="1">
        <v>11939.77</v>
      </c>
      <c r="I47" s="1">
        <v>13423.78</v>
      </c>
      <c r="J47" s="2">
        <v>16640.54</v>
      </c>
    </row>
    <row r="48" spans="1:10">
      <c r="A48" s="5">
        <v>3601</v>
      </c>
      <c r="B48" s="5">
        <v>3700</v>
      </c>
      <c r="C48" s="1">
        <v>8418.85</v>
      </c>
      <c r="D48" s="1">
        <v>8808.99</v>
      </c>
      <c r="E48" s="1">
        <v>8808.99</v>
      </c>
      <c r="F48" s="1">
        <v>8808.99</v>
      </c>
      <c r="G48" s="1">
        <v>10136.99</v>
      </c>
      <c r="H48" s="1">
        <v>12190.89</v>
      </c>
      <c r="I48" s="1">
        <v>13637.79</v>
      </c>
      <c r="J48" s="2">
        <v>17075.75</v>
      </c>
    </row>
    <row r="49" spans="1:10">
      <c r="A49" s="5">
        <v>3701</v>
      </c>
      <c r="B49" s="5">
        <v>3800</v>
      </c>
      <c r="C49" s="1">
        <v>8570.08</v>
      </c>
      <c r="D49" s="1">
        <v>8968.2000000000007</v>
      </c>
      <c r="E49" s="1">
        <v>8968.2000000000007</v>
      </c>
      <c r="F49" s="1">
        <v>8968.2000000000007</v>
      </c>
      <c r="G49" s="1">
        <v>10372.14</v>
      </c>
      <c r="H49" s="1">
        <v>12602.99</v>
      </c>
      <c r="I49" s="1">
        <v>13961.91</v>
      </c>
      <c r="J49" s="2">
        <v>17701.5</v>
      </c>
    </row>
    <row r="50" spans="1:10">
      <c r="A50" s="5">
        <v>3801</v>
      </c>
      <c r="B50" s="5">
        <v>3900</v>
      </c>
      <c r="C50" s="1">
        <v>8676.6200000000008</v>
      </c>
      <c r="D50" s="1">
        <v>9100.4500000000007</v>
      </c>
      <c r="E50" s="1">
        <v>9100.4500000000007</v>
      </c>
      <c r="F50" s="1">
        <v>9100.4500000000007</v>
      </c>
      <c r="G50" s="1">
        <v>10614.66</v>
      </c>
      <c r="H50" s="1">
        <v>12897.35</v>
      </c>
      <c r="I50" s="1">
        <v>14270.03</v>
      </c>
      <c r="J50" s="2">
        <v>17968.21</v>
      </c>
    </row>
    <row r="51" spans="1:10">
      <c r="A51" s="5">
        <v>3901</v>
      </c>
      <c r="B51" s="5">
        <v>4000</v>
      </c>
      <c r="C51" s="1">
        <v>8801.5400000000009</v>
      </c>
      <c r="D51" s="1">
        <v>9236.68</v>
      </c>
      <c r="E51" s="1">
        <v>9236.68</v>
      </c>
      <c r="F51" s="1">
        <v>9236.68</v>
      </c>
      <c r="G51" s="1">
        <v>10849.78</v>
      </c>
      <c r="H51" s="1">
        <v>13055.6</v>
      </c>
      <c r="I51" s="1">
        <v>14528.26</v>
      </c>
      <c r="J51" s="2">
        <v>18439.91</v>
      </c>
    </row>
    <row r="52" spans="1:10">
      <c r="A52" s="5">
        <v>4001</v>
      </c>
      <c r="B52" s="5">
        <v>4100</v>
      </c>
      <c r="C52" s="1">
        <v>8922.76</v>
      </c>
      <c r="D52" s="1">
        <v>9396.0400000000009</v>
      </c>
      <c r="E52" s="1">
        <v>9396.0400000000009</v>
      </c>
      <c r="F52" s="1">
        <v>9396.0400000000009</v>
      </c>
      <c r="G52" s="1">
        <v>11054.01</v>
      </c>
      <c r="H52" s="1">
        <v>13414.72</v>
      </c>
      <c r="I52" s="1">
        <v>14742.58</v>
      </c>
      <c r="J52" s="2">
        <v>18794.03</v>
      </c>
    </row>
    <row r="53" spans="1:10">
      <c r="A53" s="5">
        <v>4101</v>
      </c>
      <c r="B53" s="5">
        <v>4200</v>
      </c>
      <c r="C53" s="1">
        <v>9063.23</v>
      </c>
      <c r="D53" s="1">
        <v>9520.16</v>
      </c>
      <c r="E53" s="1">
        <v>9520.16</v>
      </c>
      <c r="F53" s="1">
        <v>9520.16</v>
      </c>
      <c r="G53" s="1">
        <v>11375.02</v>
      </c>
      <c r="H53" s="1">
        <v>13765.95</v>
      </c>
      <c r="I53" s="1">
        <v>14977.77</v>
      </c>
      <c r="J53" s="2">
        <v>19153.28</v>
      </c>
    </row>
    <row r="54" spans="1:10">
      <c r="A54" s="5">
        <v>4201</v>
      </c>
      <c r="B54" s="5">
        <v>4300</v>
      </c>
      <c r="C54" s="1">
        <v>9267.5400000000009</v>
      </c>
      <c r="D54" s="1">
        <v>9622.27</v>
      </c>
      <c r="E54" s="1">
        <v>9622.27</v>
      </c>
      <c r="F54" s="1">
        <v>9622.27</v>
      </c>
      <c r="G54" s="1">
        <v>11589.25</v>
      </c>
      <c r="H54" s="1">
        <v>13955.18</v>
      </c>
      <c r="I54" s="1">
        <v>15338.72</v>
      </c>
      <c r="J54" s="2">
        <v>19878.810000000001</v>
      </c>
    </row>
    <row r="55" spans="1:10">
      <c r="A55" s="5">
        <v>4301</v>
      </c>
      <c r="B55" s="5">
        <v>4400</v>
      </c>
      <c r="C55" s="1">
        <v>9468.26</v>
      </c>
      <c r="D55" s="1">
        <v>9734.34</v>
      </c>
      <c r="E55" s="1">
        <v>9734.34</v>
      </c>
      <c r="F55" s="1">
        <v>9734.34</v>
      </c>
      <c r="G55" s="1">
        <v>11714.57</v>
      </c>
      <c r="H55" s="1">
        <v>14257.74</v>
      </c>
      <c r="I55" s="1">
        <v>15659.97</v>
      </c>
      <c r="J55" s="2">
        <v>20300.13</v>
      </c>
    </row>
    <row r="56" spans="1:10">
      <c r="A56" s="5">
        <v>4401</v>
      </c>
      <c r="B56" s="5">
        <v>4500</v>
      </c>
      <c r="C56" s="1">
        <v>9579.09</v>
      </c>
      <c r="D56" s="1">
        <v>9767.2900000000009</v>
      </c>
      <c r="E56" s="1">
        <v>9767.2900000000009</v>
      </c>
      <c r="F56" s="1">
        <v>9767.2900000000009</v>
      </c>
      <c r="G56" s="1">
        <v>11915.89</v>
      </c>
      <c r="H56" s="1">
        <v>14459.19</v>
      </c>
      <c r="I56" s="1">
        <v>16062.29</v>
      </c>
      <c r="J56" s="2">
        <v>20651.27</v>
      </c>
    </row>
    <row r="57" spans="1:10">
      <c r="A57" s="5">
        <v>4501</v>
      </c>
      <c r="B57" s="5">
        <v>4600</v>
      </c>
      <c r="C57" s="1">
        <v>9700.06</v>
      </c>
      <c r="D57" s="1">
        <v>9998.52</v>
      </c>
      <c r="E57" s="1">
        <v>9998.52</v>
      </c>
      <c r="F57" s="1">
        <v>9998.52</v>
      </c>
      <c r="G57" s="1">
        <v>12147.14</v>
      </c>
      <c r="H57" s="1">
        <v>14690.49</v>
      </c>
      <c r="I57" s="1">
        <v>16419.41</v>
      </c>
      <c r="J57" s="2">
        <v>20886.5</v>
      </c>
    </row>
    <row r="58" spans="1:10" ht="15" thickBot="1">
      <c r="A58" s="5">
        <v>4601</v>
      </c>
      <c r="B58" s="5">
        <v>4700</v>
      </c>
      <c r="C58" s="3">
        <v>9901.1200000000008</v>
      </c>
      <c r="D58" s="3">
        <v>10199.31</v>
      </c>
      <c r="E58" s="3">
        <v>10199.31</v>
      </c>
      <c r="F58" s="3">
        <v>10199.31</v>
      </c>
      <c r="G58" s="3">
        <v>12405.26</v>
      </c>
      <c r="H58" s="3">
        <v>14991.72</v>
      </c>
      <c r="I58" s="3">
        <v>16671.52</v>
      </c>
      <c r="J58" s="4">
        <v>21222.62</v>
      </c>
    </row>
  </sheetData>
  <mergeCells count="1">
    <mergeCell ref="A1:B1"/>
  </mergeCells>
  <conditionalFormatting sqref="G2:J58">
    <cfRule type="expression" dxfId="2" priority="4" stopIfTrue="1">
      <formula>0</formula>
    </cfRule>
  </conditionalFormatting>
  <conditionalFormatting sqref="D2:F13">
    <cfRule type="expression" dxfId="1" priority="2" stopIfTrue="1">
      <formula>0</formula>
    </cfRule>
  </conditionalFormatting>
  <conditionalFormatting sqref="D14:F58">
    <cfRule type="expression" dxfId="0" priority="1" stopIfTrue="1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BD</vt:lpstr>
      <vt:lpstr>apoio2</vt:lpstr>
      <vt:lpstr>PAINEL</vt:lpstr>
      <vt:lpstr>TBL_Frete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Oliveira</dc:creator>
  <cp:lastModifiedBy>Evandro Oliveira</cp:lastModifiedBy>
  <dcterms:created xsi:type="dcterms:W3CDTF">2019-01-19T15:54:38Z</dcterms:created>
  <dcterms:modified xsi:type="dcterms:W3CDTF">2019-03-08T13:37:22Z</dcterms:modified>
</cp:coreProperties>
</file>